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28" yWindow="65428" windowWidth="23256" windowHeight="12576" activeTab="1"/>
  </bookViews>
  <sheets>
    <sheet name="PLANILHA" sheetId="9" r:id="rId1"/>
    <sheet name="M CÁLCULO" sheetId="11" r:id="rId2"/>
    <sheet name="CRONOGRAMA" sheetId="10" r:id="rId3"/>
    <sheet name="QCI" sheetId="12" r:id="rId4"/>
    <sheet name="PLANILHA - RUA" sheetId="14" r:id="rId5"/>
    <sheet name="QCI - RUA" sheetId="13" r:id="rId6"/>
    <sheet name="BDI 2021" sheetId="15" r:id="rId7"/>
  </sheets>
  <definedNames>
    <definedName name="_xlnm.Print_Area" localSheetId="1">'M CÁLCULO'!$A$1:$I$98</definedName>
    <definedName name="_xlnm.Print_Area" localSheetId="0">'PLANILHA'!$A$1:$I$60</definedName>
    <definedName name="_xlnm.Print_Area" localSheetId="4">'PLANILHA - RUA'!$A$1:$I$170</definedName>
    <definedName name="_xlnm.Print_Area" localSheetId="3">'QCI'!$A$1:$D$22</definedName>
    <definedName name="_xlnm.Print_Area" localSheetId="5">'QCI - RUA'!$A$1:$D$44</definedName>
    <definedName name="_xlnm.Print_Titles" localSheetId="0">'PLANILHA'!$8:$13</definedName>
    <definedName name="_xlnm.Print_Titles" localSheetId="4">'PLANILHA - RUA'!$7:$12</definedName>
  </definedNames>
  <calcPr calcId="181029" fullPrecision="0"/>
</workbook>
</file>

<file path=xl/sharedStrings.xml><?xml version="1.0" encoding="utf-8"?>
<sst xmlns="http://schemas.openxmlformats.org/spreadsheetml/2006/main" count="662" uniqueCount="179">
  <si>
    <t>DESCRIÇÃO</t>
  </si>
  <si>
    <t>QUANT.</t>
  </si>
  <si>
    <t>PREÇO(R$)</t>
  </si>
  <si>
    <t>CÓDIGO</t>
  </si>
  <si>
    <t>%</t>
  </si>
  <si>
    <t>1.0</t>
  </si>
  <si>
    <t>2.0</t>
  </si>
  <si>
    <t>3.0</t>
  </si>
  <si>
    <t>4.0</t>
  </si>
  <si>
    <t>M²</t>
  </si>
  <si>
    <t>5.0</t>
  </si>
  <si>
    <t>6.0</t>
  </si>
  <si>
    <t>7.0</t>
  </si>
  <si>
    <t>8.0</t>
  </si>
  <si>
    <t>9.0</t>
  </si>
  <si>
    <t>10.0</t>
  </si>
  <si>
    <t>UNID.</t>
  </si>
  <si>
    <t xml:space="preserve">     TOTAL R$</t>
  </si>
  <si>
    <t>Sub-Total</t>
  </si>
  <si>
    <t>AC</t>
  </si>
  <si>
    <t>R</t>
  </si>
  <si>
    <t>DF</t>
  </si>
  <si>
    <t>L</t>
  </si>
  <si>
    <t>SEM BDI</t>
  </si>
  <si>
    <t>COM BDI</t>
  </si>
  <si>
    <t>BDI</t>
  </si>
  <si>
    <t>CUSTO TOTAL</t>
  </si>
  <si>
    <t>PREÇO TOTAL</t>
  </si>
  <si>
    <t>DISCRIMINAÇÃO</t>
  </si>
  <si>
    <t>ITEM</t>
  </si>
  <si>
    <t>2.1</t>
  </si>
  <si>
    <t>3.1</t>
  </si>
  <si>
    <t>4.1</t>
  </si>
  <si>
    <t>5.1</t>
  </si>
  <si>
    <t>8.1</t>
  </si>
  <si>
    <t>5.2</t>
  </si>
  <si>
    <t>6.1</t>
  </si>
  <si>
    <t>7.1</t>
  </si>
  <si>
    <t>9.1</t>
  </si>
  <si>
    <t>9.2</t>
  </si>
  <si>
    <t>10.1</t>
  </si>
  <si>
    <t>10.2</t>
  </si>
  <si>
    <t>10.3</t>
  </si>
  <si>
    <t>CRONOGRAMA FISICO-FINANCEIRO</t>
  </si>
  <si>
    <t>VALOR MENSAL R$</t>
  </si>
  <si>
    <t>VALOR MENSAL ACUMULADO R$</t>
  </si>
  <si>
    <t>PERCENTUAL SIMPLES (%)</t>
  </si>
  <si>
    <t>PERCENTUAL ACUMULADO (%)</t>
  </si>
  <si>
    <t>5.3</t>
  </si>
  <si>
    <t>8.2</t>
  </si>
  <si>
    <t>8.3</t>
  </si>
  <si>
    <t>8.4</t>
  </si>
  <si>
    <t>8.5</t>
  </si>
  <si>
    <t>9.3</t>
  </si>
  <si>
    <t>SERVIÇOS PRELIMINARES</t>
  </si>
  <si>
    <t>PLACA DE OBRA EM CHAPA DE ACO GALVANIZADO</t>
  </si>
  <si>
    <t xml:space="preserve">NOME DA RUA </t>
  </si>
  <si>
    <t>EXTENSÃO</t>
  </si>
  <si>
    <t>LARGURA</t>
  </si>
  <si>
    <t>ESP.  CAMADA</t>
  </si>
  <si>
    <t>ÁREA</t>
  </si>
  <si>
    <t>VOLUME (M³)</t>
  </si>
  <si>
    <t>PESO (TON)</t>
  </si>
  <si>
    <t>MASSA ESP.</t>
  </si>
  <si>
    <t>TOTAL</t>
  </si>
  <si>
    <t>CBUQ</t>
  </si>
  <si>
    <t>PINTURA DE LIGACAO COM EMULSAO RR-1C</t>
  </si>
  <si>
    <t xml:space="preserve">TRANSPORTE </t>
  </si>
  <si>
    <t>DMT (KM)</t>
  </si>
  <si>
    <t>T x KM</t>
  </si>
  <si>
    <t>2.2</t>
  </si>
  <si>
    <t>2.3</t>
  </si>
  <si>
    <t>TRANSPORTE COM CAMINHÃO BASCULANTE DE 18 M3, EM VIA URBANA PAVIMENTADA, DMT ACIMA DE 30 KM (UNIDADE: TONXKM). AF_09/2016</t>
  </si>
  <si>
    <t>MEMÓRIA DE CÁLCULO TRANSPORTE</t>
  </si>
  <si>
    <t>MEMÓRIA DE CÁLCULO - CBUQ</t>
  </si>
  <si>
    <t>MEMÓRIA DE CÁLCULO SINALIZAÇÃO HORIZONTAL (FAIXA CONTINUA) - BORDOS</t>
  </si>
  <si>
    <t>MEMÓRIA DE CÁLCULO SINALIZAÇÃO HORIZONTAL (FAIXA DESCONTINUAS) - EIXO</t>
  </si>
  <si>
    <t>SINALIZACAO HORIZONTAL COM TINTA RETRORREFLETIVA A BASE DE RESINA ACRI LICA COM MICROESFERAS DE VIDRO - (FAIXA CONTINUA NOS BORDOS E TRASCEJADA NO EIXO)</t>
  </si>
  <si>
    <t>MEMÓRIA DE CÁLCULO SINALIZAÇÃO HORIZONTAL (FAIXA DE PEDESTRE)</t>
  </si>
  <si>
    <t>LARGURA RUA</t>
  </si>
  <si>
    <t>LARGURA FAIXA</t>
  </si>
  <si>
    <t>QUANT. FAIXAS</t>
  </si>
  <si>
    <t>ÁREA TOT. FAIXAS (M²)</t>
  </si>
  <si>
    <t>A. PINTURA POR FAIXA (M²)</t>
  </si>
  <si>
    <t>3.2</t>
  </si>
  <si>
    <t>SINALIZACAO HORIZONTAL COM TINTA RETRORREFLETIVA A BASE DE RESINA ACRI LICA COM MICROESFERAS DE VIDRO - (FAIXA DE PEDESTRE)</t>
  </si>
  <si>
    <t>1º MÊS</t>
  </si>
  <si>
    <t>2º MÊS</t>
  </si>
  <si>
    <t>3º MÊS</t>
  </si>
  <si>
    <t>4º MÊS</t>
  </si>
  <si>
    <t>TOTAL GERAL</t>
  </si>
  <si>
    <t>FASE : ÚNICA</t>
  </si>
  <si>
    <t>BASE</t>
  </si>
  <si>
    <t>QUADRO DE COMPOSIÇÃO DO INVESTIMENTO -  QCI</t>
  </si>
  <si>
    <t>R$</t>
  </si>
  <si>
    <t>11.0</t>
  </si>
  <si>
    <t>CUSTO DIRETO - VALOR R$</t>
  </si>
  <si>
    <t>VALOR TOTAL R$</t>
  </si>
  <si>
    <t>1.4</t>
  </si>
  <si>
    <t>DMT CBUQ</t>
  </si>
  <si>
    <t xml:space="preserve">CBUQ </t>
  </si>
  <si>
    <t xml:space="preserve">SINALIZAÇÃO HORIZONTAL E VERTICAL </t>
  </si>
  <si>
    <t>12.0</t>
  </si>
  <si>
    <t>14.0</t>
  </si>
  <si>
    <t>13.0</t>
  </si>
  <si>
    <t>QUADRO DE COMPOSIÇÃO DO INVESTIMENTO -  QCI (POR RUA)</t>
  </si>
  <si>
    <t>APLICAÇÃO DE REVESTIMENTO ASFALTICO (CBUQ) SOBRE PARALELEPIPEDO EM DIVERSAS RUAS</t>
  </si>
  <si>
    <t>LOCAL: VERDEJANTE - PE</t>
  </si>
  <si>
    <t>DATA : JUNHO/2021</t>
  </si>
  <si>
    <t>REVISÃO: JUNHO/2021</t>
  </si>
  <si>
    <t>BAIRRO: CENTRO</t>
  </si>
  <si>
    <t>RUA OSMUNDO BEZERRA</t>
  </si>
  <si>
    <t>RUA AGAMENON MAGALHÃES</t>
  </si>
  <si>
    <t>RUA MARIANO GOMES</t>
  </si>
  <si>
    <t>RUA JOSÉ TAVARES DE SÁ</t>
  </si>
  <si>
    <t>TRAVESSA AMARO GOMES</t>
  </si>
  <si>
    <t>RUA JANUÁRIO NUNES</t>
  </si>
  <si>
    <t>TRAVESSA JOAQUIM MARIANO DE SÁ</t>
  </si>
  <si>
    <t>RUA SERAFIM LOPES DE SÁ (TRECHO)</t>
  </si>
  <si>
    <t>ANTONIO CECÍLIO RANGEL (TRECHO 1) - ENTRE O CRAS E CASA DE BEL)</t>
  </si>
  <si>
    <t>ANTONIO CECÍLIO RANGEL (TRECHO 2) - ENTRE CASA DE BEL E MERCADO ENEAS</t>
  </si>
  <si>
    <t>ÁREA TOTAL</t>
  </si>
  <si>
    <t>ÁREA (REQUADROS)</t>
  </si>
  <si>
    <t>RUA CÍCERO CÂNDIDO (TRECHO 1) - ENTRE MARIANO GOMES E OSMUNDO B.</t>
  </si>
  <si>
    <t>RUA CÍCERO CÂNDIDO (TRECHO 2) - ENTRE OSMUNDO B. E AV DAVID JACINTO</t>
  </si>
  <si>
    <t>RUA CÍCERO CÂNDIDO (TRECHO 3) - ENTRE AV DAVID JACINTO E AGAMENON M.</t>
  </si>
  <si>
    <t>96402</t>
  </si>
  <si>
    <t>EXECUÇÃO DE PINTURA DE LIGAÇÃO COM EMULSÃO ASFÁLTICA RR-2C. AF_11/2019</t>
  </si>
  <si>
    <t>PLANILHA DE COMPOSIÇÃO DE BDI</t>
  </si>
  <si>
    <t>AGENTE PROMOTOR:</t>
  </si>
  <si>
    <t>PREFEITURA MUNICIPAL DE VERDEJANTE</t>
  </si>
  <si>
    <t>OBRA:</t>
  </si>
  <si>
    <t>ENDEREÇO:</t>
  </si>
  <si>
    <t>DATA:</t>
  </si>
  <si>
    <t>DESPESAS INDIRETAS</t>
  </si>
  <si>
    <t>CÁLCULO DO BDI</t>
  </si>
  <si>
    <t>ITENS</t>
  </si>
  <si>
    <t>SIGLAS</t>
  </si>
  <si>
    <t>VALORES</t>
  </si>
  <si>
    <t>TAXA DE RATEIO DA ADMINISTRAÇÃO CENTRAL</t>
  </si>
  <si>
    <t xml:space="preserve">BDI </t>
  </si>
  <si>
    <t>=</t>
  </si>
  <si>
    <t>(1 + AC)</t>
  </si>
  <si>
    <t>x</t>
  </si>
  <si>
    <t>(1 + R)</t>
  </si>
  <si>
    <t>(1 + SG)</t>
  </si>
  <si>
    <t>(1 + L)</t>
  </si>
  <si>
    <t>(1 + DF)</t>
  </si>
  <si>
    <t>-</t>
  </si>
  <si>
    <t>TAXA DE SEGURO E GARANTIA DO EMPREENDIMENTO</t>
  </si>
  <si>
    <t>S+G</t>
  </si>
  <si>
    <t>(1 - I)</t>
  </si>
  <si>
    <t>TAXA DE RISCO</t>
  </si>
  <si>
    <t>TAXA DE DESPESAS FINANCEIRAS</t>
  </si>
  <si>
    <t>TAXA DE LUCRO</t>
  </si>
  <si>
    <t>TAXA DE TRIBUTOS</t>
  </si>
  <si>
    <t>PIS (geralmente 0,65%)</t>
  </si>
  <si>
    <t>I</t>
  </si>
  <si>
    <t>COFINS (geralmente 3,00%)</t>
  </si>
  <si>
    <t>ISS (legislação municipal)</t>
  </si>
  <si>
    <t>CPRB (INSS)</t>
  </si>
  <si>
    <t>BDI conforme Acórdão 2622/2013 - TCU</t>
  </si>
  <si>
    <t>BDI RESULTANTE</t>
  </si>
  <si>
    <t>OBSERVAÇÕES:</t>
  </si>
  <si>
    <t>I – O percentual total apurado do BDI deverá incidir de forma direta sobre o somatório dos custos totais de cada serviço.</t>
  </si>
  <si>
    <t>II - A inserção da CPRB decorre das alterações promovidas pela lei n.º 12.844/2013, conforme orientação do Acórdão TCU n.º 2.293/2013 – Plenário. A nova sistemática de recolhimento da contribuição previdenciária poderá impactar as taxas de BDI mediante a majoração do percentual correspondente a 2% sobre o preço total da obra, em substituição à contribuição previdenciária patronal de 20% prevista nos encargos sociais. Nos orçamentos de obras públicas, somente se aplicará durante os períodos de sua vigência legal e depende do enquadramento da obra e das empresas contratadas nas respectivas atividades econômicas expressamente citadas na legislação.</t>
  </si>
  <si>
    <t>C1937</t>
  </si>
  <si>
    <t>SINAPI ABRIL/2021 E SEINFRA 027.1</t>
  </si>
  <si>
    <t>SINALIZAÇÃO HORIZONTAL</t>
  </si>
  <si>
    <t>MODALIDADE:  PAVIMENTAÇÃO E SINALIZAÇÃO HORIZONTAL</t>
  </si>
  <si>
    <t>MODALIDADE: PAVIMENTAÇÃO E SINALIZAÇÃO VERTICAL</t>
  </si>
  <si>
    <t>LOCAL: MUNICÍPIO DE VERDEJANTE - PE</t>
  </si>
  <si>
    <t>BAIRRO CENTRO</t>
  </si>
  <si>
    <t>SINAPI ABR/2021 E SEINFRA 027.1</t>
  </si>
  <si>
    <t>APLICAÇÃO DE REVESTIMENTO ASFÁLTICO EM DIVERSAS RUAS DO MUNICÍPIO</t>
  </si>
  <si>
    <t>SEDE</t>
  </si>
  <si>
    <t>95995</t>
  </si>
  <si>
    <t>EXECUÇÃO DE PAVIMENTO COM APLICAÇÃO DE CONCRETO ASFÁLTICO, CAMADA DE ROLAMENTO - EXCLUSIVE CARGA E TRANSPORTE. AF_11/2019</t>
  </si>
  <si>
    <t>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</si>
</sst>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&quot;R$ &quot;#,##0.00"/>
    <numFmt numFmtId="167" formatCode="&quot;R$&quot;\ #,##0.00"/>
    <numFmt numFmtId="168" formatCode="#,##0.00\ ;&quot; (&quot;#,##0.00\);&quot; -&quot;#\ ;@\ "/>
    <numFmt numFmtId="169" formatCode="0.000"/>
    <numFmt numFmtId="170" formatCode="0.000000000"/>
    <numFmt numFmtId="171" formatCode="General_)"/>
    <numFmt numFmtId="172" formatCode="0.0%"/>
    <numFmt numFmtId="173" formatCode="0.00000"/>
    <numFmt numFmtId="174" formatCode="0.0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vertAlign val="subscript"/>
      <sz val="14"/>
      <name val="Arial"/>
      <family val="2"/>
    </font>
    <font>
      <b/>
      <sz val="18"/>
      <name val="Ottawa"/>
      <family val="2"/>
    </font>
    <font>
      <sz val="10"/>
      <color rgb="FF0070C0"/>
      <name val="Arial"/>
      <family val="2"/>
    </font>
    <font>
      <i/>
      <sz val="10"/>
      <color rgb="FFFF0000"/>
      <name val="Arial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vertAlign val="subscript"/>
      <sz val="14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sz val="12"/>
      <color indexed="8"/>
      <name val="Times New Roman"/>
      <family val="1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indexed="8"/>
      <name val="MS Sans Serif"/>
      <family val="2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3FBD1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 style="hair"/>
      <bottom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/>
      <top/>
      <bottom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9" fillId="0" borderId="1" applyNumberFormat="0" applyFill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170" fontId="3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</cellStyleXfs>
  <cellXfs count="412">
    <xf numFmtId="0" fontId="0" fillId="0" borderId="0" xfId="0"/>
    <xf numFmtId="164" fontId="0" fillId="0" borderId="0" xfId="26" applyFont="1" applyBorder="1"/>
    <xf numFmtId="164" fontId="0" fillId="0" borderId="0" xfId="26" applyFont="1"/>
    <xf numFmtId="166" fontId="1" fillId="0" borderId="2" xfId="28" applyNumberFormat="1" applyFont="1" applyFill="1" applyBorder="1" applyAlignment="1">
      <alignment horizontal="right" vertical="center"/>
      <protection/>
    </xf>
    <xf numFmtId="166" fontId="2" fillId="0" borderId="2" xfId="28" applyNumberFormat="1" applyFont="1" applyFill="1" applyBorder="1" applyAlignment="1">
      <alignment vertical="center"/>
      <protection/>
    </xf>
    <xf numFmtId="9" fontId="2" fillId="0" borderId="2" xfId="22" applyFont="1" applyFill="1" applyBorder="1" applyAlignment="1">
      <alignment horizontal="center" vertical="center"/>
    </xf>
    <xf numFmtId="4" fontId="2" fillId="0" borderId="2" xfId="28" applyNumberFormat="1" applyFont="1" applyFill="1" applyBorder="1">
      <alignment/>
      <protection/>
    </xf>
    <xf numFmtId="0" fontId="2" fillId="0" borderId="0" xfId="28" applyFont="1" applyFill="1" applyBorder="1" applyAlignment="1">
      <alignment horizontal="left"/>
      <protection/>
    </xf>
    <xf numFmtId="2" fontId="3" fillId="0" borderId="0" xfId="29" applyNumberFormat="1" applyFont="1" applyBorder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/>
      <protection/>
    </xf>
    <xf numFmtId="0" fontId="3" fillId="0" borderId="0" xfId="29" applyFont="1" applyBorder="1" applyAlignment="1">
      <alignment vertical="center"/>
      <protection/>
    </xf>
    <xf numFmtId="164" fontId="1" fillId="0" borderId="0" xfId="30" applyNumberFormat="1" applyFont="1" applyBorder="1" applyAlignment="1">
      <alignment horizontal="center" vertical="center"/>
    </xf>
    <xf numFmtId="0" fontId="3" fillId="0" borderId="0" xfId="29" applyFont="1" applyFill="1" applyBorder="1" applyAlignment="1">
      <alignment horizontal="center"/>
      <protection/>
    </xf>
    <xf numFmtId="0" fontId="4" fillId="0" borderId="0" xfId="29" applyFont="1" applyBorder="1" applyAlignment="1">
      <alignment vertical="center"/>
      <protection/>
    </xf>
    <xf numFmtId="0" fontId="4" fillId="0" borderId="0" xfId="29" applyFont="1" applyBorder="1" applyAlignment="1">
      <alignment horizontal="center" vertical="center"/>
      <protection/>
    </xf>
    <xf numFmtId="0" fontId="3" fillId="0" borderId="0" xfId="29" applyFont="1" applyBorder="1" applyAlignment="1">
      <alignment/>
      <protection/>
    </xf>
    <xf numFmtId="0" fontId="3" fillId="0" borderId="0" xfId="29" applyFont="1" applyBorder="1" applyAlignment="1">
      <alignment horizontal="center"/>
      <protection/>
    </xf>
    <xf numFmtId="164" fontId="1" fillId="0" borderId="2" xfId="26" applyFont="1" applyFill="1" applyBorder="1" applyAlignment="1">
      <alignment horizontal="center" vertical="center" wrapText="1"/>
    </xf>
    <xf numFmtId="43" fontId="1" fillId="0" borderId="0" xfId="31" applyFont="1"/>
    <xf numFmtId="0" fontId="1" fillId="0" borderId="0" xfId="21" applyFont="1">
      <alignment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2" xfId="26" applyNumberFormat="1" applyFont="1" applyFill="1" applyBorder="1" applyAlignment="1">
      <alignment horizontal="center" vertical="center" wrapText="1"/>
    </xf>
    <xf numFmtId="164" fontId="1" fillId="0" borderId="2" xfId="26" applyFont="1" applyFill="1" applyBorder="1" applyAlignment="1">
      <alignment horizontal="left" vertical="center" wrapText="1"/>
    </xf>
    <xf numFmtId="43" fontId="1" fillId="0" borderId="2" xfId="31" applyFont="1" applyFill="1" applyBorder="1" applyAlignment="1">
      <alignment vertical="center"/>
    </xf>
    <xf numFmtId="0" fontId="13" fillId="0" borderId="2" xfId="0" applyFont="1" applyBorder="1" applyAlignment="1">
      <alignment wrapText="1"/>
    </xf>
    <xf numFmtId="0" fontId="1" fillId="2" borderId="0" xfId="21" applyFont="1" applyFill="1">
      <alignment/>
      <protection/>
    </xf>
    <xf numFmtId="43" fontId="1" fillId="2" borderId="0" xfId="31" applyFont="1" applyFill="1"/>
    <xf numFmtId="0" fontId="1" fillId="0" borderId="2" xfId="0" applyNumberFormat="1" applyFont="1" applyFill="1" applyBorder="1" applyAlignment="1" applyProtection="1">
      <alignment horizontal="justify" vertical="top" wrapText="1"/>
      <protection/>
    </xf>
    <xf numFmtId="0" fontId="1" fillId="0" borderId="2" xfId="0" applyFont="1" applyFill="1" applyBorder="1" applyAlignment="1">
      <alignment horizontal="center" vertical="center" wrapText="1"/>
    </xf>
    <xf numFmtId="43" fontId="1" fillId="0" borderId="2" xfId="3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3" fontId="13" fillId="0" borderId="0" xfId="31" applyFont="1"/>
    <xf numFmtId="164" fontId="13" fillId="0" borderId="0" xfId="26" applyFont="1"/>
    <xf numFmtId="164" fontId="13" fillId="0" borderId="0" xfId="26" applyFont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164" fontId="1" fillId="0" borderId="0" xfId="26" applyFont="1"/>
    <xf numFmtId="0" fontId="2" fillId="3" borderId="2" xfId="26" applyNumberFormat="1" applyFont="1" applyFill="1" applyBorder="1" applyAlignment="1">
      <alignment horizontal="center" vertical="center" wrapText="1"/>
    </xf>
    <xf numFmtId="164" fontId="2" fillId="3" borderId="2" xfId="26" applyFont="1" applyFill="1" applyBorder="1" applyAlignment="1">
      <alignment horizontal="left" vertical="center"/>
    </xf>
    <xf numFmtId="43" fontId="2" fillId="0" borderId="0" xfId="31" applyFont="1"/>
    <xf numFmtId="0" fontId="2" fillId="0" borderId="0" xfId="21" applyFont="1">
      <alignment/>
      <protection/>
    </xf>
    <xf numFmtId="164" fontId="2" fillId="3" borderId="2" xfId="26" applyFont="1" applyFill="1" applyBorder="1" applyAlignment="1">
      <alignment horizontal="left" vertical="center" wrapText="1"/>
    </xf>
    <xf numFmtId="164" fontId="2" fillId="3" borderId="2" xfId="26" applyFont="1" applyFill="1" applyBorder="1" applyAlignment="1">
      <alignment horizontal="center" vertical="center" wrapText="1"/>
    </xf>
    <xf numFmtId="43" fontId="2" fillId="2" borderId="0" xfId="31" applyFont="1" applyFill="1"/>
    <xf numFmtId="0" fontId="2" fillId="3" borderId="2" xfId="26" applyNumberFormat="1" applyFont="1" applyFill="1" applyBorder="1" applyAlignment="1">
      <alignment horizontal="center" vertical="center"/>
    </xf>
    <xf numFmtId="0" fontId="2" fillId="2" borderId="0" xfId="21" applyFont="1" applyFill="1">
      <alignment/>
      <protection/>
    </xf>
    <xf numFmtId="166" fontId="2" fillId="0" borderId="3" xfId="28" applyNumberFormat="1" applyFont="1" applyFill="1" applyBorder="1" applyAlignment="1">
      <alignment vertical="center"/>
      <protection/>
    </xf>
    <xf numFmtId="164" fontId="0" fillId="4" borderId="0" xfId="26" applyFont="1" applyFill="1"/>
    <xf numFmtId="0" fontId="2" fillId="0" borderId="2" xfId="28" applyFont="1" applyFill="1" applyBorder="1" applyAlignment="1">
      <alignment horizontal="center" vertical="center"/>
      <protection/>
    </xf>
    <xf numFmtId="167" fontId="2" fillId="0" borderId="2" xfId="22" applyNumberFormat="1" applyFont="1" applyFill="1" applyBorder="1" applyAlignment="1">
      <alignment horizontal="right" vertical="center"/>
    </xf>
    <xf numFmtId="0" fontId="8" fillId="0" borderId="2" xfId="37" applyFont="1" applyBorder="1" applyAlignment="1">
      <alignment vertical="top" wrapText="1"/>
      <protection/>
    </xf>
    <xf numFmtId="0" fontId="8" fillId="0" borderId="0" xfId="0" applyFont="1" applyAlignment="1">
      <alignment wrapText="1"/>
    </xf>
    <xf numFmtId="0" fontId="8" fillId="0" borderId="2" xfId="37" applyFont="1" applyBorder="1" applyAlignment="1">
      <alignment horizontal="center" vertical="center"/>
      <protection/>
    </xf>
    <xf numFmtId="0" fontId="8" fillId="0" borderId="2" xfId="37" applyFont="1" applyFill="1" applyBorder="1" applyAlignment="1">
      <alignment horizontal="center" vertical="center"/>
      <protection/>
    </xf>
    <xf numFmtId="0" fontId="8" fillId="2" borderId="2" xfId="37" applyFont="1" applyFill="1" applyBorder="1" applyAlignment="1">
      <alignment horizontal="center" vertical="center" wrapText="1"/>
      <protection/>
    </xf>
    <xf numFmtId="0" fontId="8" fillId="0" borderId="2" xfId="0" applyFont="1" applyBorder="1" applyAlignment="1">
      <alignment wrapText="1"/>
    </xf>
    <xf numFmtId="164" fontId="8" fillId="0" borderId="2" xfId="26" applyFont="1" applyFill="1" applyBorder="1" applyAlignment="1">
      <alignment horizontal="left" vertical="center" wrapText="1"/>
    </xf>
    <xf numFmtId="0" fontId="8" fillId="0" borderId="2" xfId="26" applyNumberFormat="1" applyFont="1" applyFill="1" applyBorder="1" applyAlignment="1">
      <alignment horizontal="center" vertical="center" wrapText="1"/>
    </xf>
    <xf numFmtId="164" fontId="8" fillId="0" borderId="2" xfId="26" applyFont="1" applyFill="1" applyBorder="1" applyAlignment="1">
      <alignment horizontal="center" vertical="center" wrapText="1"/>
    </xf>
    <xf numFmtId="43" fontId="8" fillId="0" borderId="2" xfId="31" applyFont="1" applyFill="1" applyBorder="1" applyAlignment="1">
      <alignment vertical="center"/>
    </xf>
    <xf numFmtId="0" fontId="8" fillId="0" borderId="2" xfId="21" applyFont="1" applyBorder="1" applyAlignment="1">
      <alignment horizontal="center" vertical="center"/>
      <protection/>
    </xf>
    <xf numFmtId="0" fontId="8" fillId="2" borderId="2" xfId="21" applyFont="1" applyFill="1" applyBorder="1" applyAlignment="1">
      <alignment horizontal="center" vertical="center"/>
      <protection/>
    </xf>
    <xf numFmtId="0" fontId="8" fillId="0" borderId="3" xfId="26" applyNumberFormat="1" applyFont="1" applyFill="1" applyBorder="1" applyAlignment="1">
      <alignment horizontal="center" vertical="center" wrapText="1"/>
    </xf>
    <xf numFmtId="43" fontId="15" fillId="3" borderId="2" xfId="31" applyFont="1" applyFill="1" applyBorder="1" applyAlignment="1">
      <alignment vertical="center"/>
    </xf>
    <xf numFmtId="43" fontId="8" fillId="2" borderId="2" xfId="31" applyFont="1" applyFill="1" applyBorder="1" applyAlignment="1">
      <alignment horizontal="center" vertical="center" wrapText="1"/>
    </xf>
    <xf numFmtId="43" fontId="15" fillId="3" borderId="2" xfId="31" applyFont="1" applyFill="1" applyBorder="1" applyAlignment="1">
      <alignment vertical="center" wrapText="1"/>
    </xf>
    <xf numFmtId="43" fontId="8" fillId="0" borderId="2" xfId="3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9" fontId="1" fillId="0" borderId="2" xfId="36" applyFont="1" applyFill="1" applyBorder="1" applyAlignment="1">
      <alignment horizontal="right" vertical="center"/>
    </xf>
    <xf numFmtId="9" fontId="2" fillId="0" borderId="2" xfId="36" applyFont="1" applyFill="1" applyBorder="1" applyAlignment="1">
      <alignment horizontal="center"/>
    </xf>
    <xf numFmtId="0" fontId="8" fillId="0" borderId="2" xfId="37" applyFont="1" applyFill="1" applyBorder="1" applyAlignment="1">
      <alignment vertical="top" wrapText="1"/>
      <protection/>
    </xf>
    <xf numFmtId="0" fontId="9" fillId="0" borderId="2" xfId="0" applyFont="1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/>
    <xf numFmtId="2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0" xfId="0" applyFont="1"/>
    <xf numFmtId="2" fontId="9" fillId="0" borderId="2" xfId="0" applyNumberFormat="1" applyFont="1" applyFill="1" applyBorder="1" applyAlignment="1">
      <alignment horizontal="center"/>
    </xf>
    <xf numFmtId="0" fontId="0" fillId="0" borderId="5" xfId="0" applyBorder="1"/>
    <xf numFmtId="44" fontId="8" fillId="0" borderId="2" xfId="38" applyFont="1" applyFill="1" applyBorder="1" applyAlignment="1">
      <alignment horizontal="center" vertical="center"/>
    </xf>
    <xf numFmtId="44" fontId="14" fillId="0" borderId="2" xfId="38" applyFont="1" applyFill="1" applyBorder="1" applyAlignment="1" applyProtection="1">
      <alignment horizontal="right" vertical="center"/>
      <protection/>
    </xf>
    <xf numFmtId="44" fontId="1" fillId="0" borderId="2" xfId="38" applyFont="1" applyFill="1" applyBorder="1" applyAlignment="1">
      <alignment vertical="center"/>
    </xf>
    <xf numFmtId="44" fontId="2" fillId="3" borderId="2" xfId="38" applyFont="1" applyFill="1" applyBorder="1" applyAlignment="1">
      <alignment vertical="center"/>
    </xf>
    <xf numFmtId="44" fontId="15" fillId="3" borderId="2" xfId="38" applyFont="1" applyFill="1" applyBorder="1" applyAlignment="1">
      <alignment vertical="center"/>
    </xf>
    <xf numFmtId="44" fontId="8" fillId="0" borderId="2" xfId="38" applyFont="1" applyBorder="1" applyAlignment="1">
      <alignment horizontal="center" vertical="center"/>
    </xf>
    <xf numFmtId="44" fontId="14" fillId="2" borderId="2" xfId="38" applyFont="1" applyFill="1" applyBorder="1" applyAlignment="1" applyProtection="1">
      <alignment horizontal="right" vertical="center"/>
      <protection/>
    </xf>
    <xf numFmtId="44" fontId="1" fillId="2" borderId="2" xfId="38" applyFont="1" applyFill="1" applyBorder="1" applyAlignment="1">
      <alignment horizontal="center" vertical="center" wrapText="1"/>
    </xf>
    <xf numFmtId="44" fontId="8" fillId="0" borderId="2" xfId="38" applyFont="1" applyFill="1" applyBorder="1" applyAlignment="1">
      <alignment vertical="center"/>
    </xf>
    <xf numFmtId="44" fontId="1" fillId="0" borderId="2" xfId="38" applyFont="1" applyFill="1" applyBorder="1"/>
    <xf numFmtId="44" fontId="12" fillId="0" borderId="2" xfId="38" applyFont="1" applyFill="1" applyBorder="1" applyAlignment="1" applyProtection="1">
      <alignment horizontal="right" vertical="center"/>
      <protection/>
    </xf>
    <xf numFmtId="169" fontId="9" fillId="0" borderId="2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4" fontId="2" fillId="0" borderId="0" xfId="38" applyFont="1"/>
    <xf numFmtId="0" fontId="2" fillId="2" borderId="0" xfId="0" applyFont="1" applyFill="1" applyBorder="1" applyAlignment="1">
      <alignment horizontal="left" vertical="center" wrapText="1"/>
    </xf>
    <xf numFmtId="0" fontId="1" fillId="0" borderId="3" xfId="28" applyFont="1" applyFill="1" applyBorder="1" applyAlignment="1">
      <alignment horizontal="center" vertical="center"/>
      <protection/>
    </xf>
    <xf numFmtId="166" fontId="2" fillId="0" borderId="3" xfId="28" applyNumberFormat="1" applyFont="1" applyFill="1" applyBorder="1" applyAlignment="1">
      <alignment horizontal="center" vertical="center"/>
      <protection/>
    </xf>
    <xf numFmtId="0" fontId="2" fillId="0" borderId="2" xfId="28" applyFont="1" applyFill="1" applyBorder="1" applyAlignment="1">
      <alignment horizontal="center"/>
      <protection/>
    </xf>
    <xf numFmtId="0" fontId="17" fillId="0" borderId="0" xfId="0" applyFont="1" applyAlignment="1">
      <alignment vertical="center"/>
    </xf>
    <xf numFmtId="0" fontId="1" fillId="0" borderId="0" xfId="0" applyFo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18" fillId="0" borderId="0" xfId="23" applyNumberFormat="1" applyFont="1" applyAlignment="1">
      <alignment/>
    </xf>
    <xf numFmtId="164" fontId="18" fillId="0" borderId="0" xfId="23" applyFont="1" applyAlignment="1">
      <alignment vertical="center"/>
    </xf>
    <xf numFmtId="164" fontId="18" fillId="0" borderId="7" xfId="23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31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31" applyNumberFormat="1" applyFont="1" applyFill="1" applyBorder="1" applyAlignment="1">
      <alignment horizontal="center" vertical="center"/>
    </xf>
    <xf numFmtId="10" fontId="2" fillId="0" borderId="2" xfId="36" applyNumberFormat="1" applyFont="1" applyBorder="1" applyAlignment="1">
      <alignment horizontal="center" vertical="center"/>
    </xf>
    <xf numFmtId="164" fontId="1" fillId="0" borderId="0" xfId="31" applyNumberFormat="1" applyFont="1" applyAlignment="1">
      <alignment horizontal="center"/>
    </xf>
    <xf numFmtId="43" fontId="1" fillId="0" borderId="0" xfId="0" applyNumberFormat="1" applyFont="1"/>
    <xf numFmtId="164" fontId="2" fillId="2" borderId="2" xfId="31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3" fillId="0" borderId="0" xfId="0" applyNumberFormat="1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31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164" fontId="5" fillId="0" borderId="7" xfId="31" applyNumberFormat="1" applyFont="1" applyBorder="1" applyAlignment="1">
      <alignment horizontal="center" vertical="center"/>
    </xf>
    <xf numFmtId="164" fontId="12" fillId="0" borderId="0" xfId="31" applyNumberFormat="1" applyFont="1"/>
    <xf numFmtId="170" fontId="1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 vertical="center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right"/>
    </xf>
    <xf numFmtId="164" fontId="25" fillId="0" borderId="0" xfId="31" applyNumberFormat="1" applyFont="1"/>
    <xf numFmtId="0" fontId="12" fillId="0" borderId="0" xfId="0" applyFont="1" applyAlignment="1">
      <alignment horizontal="right"/>
    </xf>
    <xf numFmtId="164" fontId="26" fillId="0" borderId="0" xfId="0" applyNumberFormat="1" applyFont="1"/>
    <xf numFmtId="0" fontId="1" fillId="0" borderId="0" xfId="0" applyFont="1" applyAlignment="1">
      <alignment horizontal="right"/>
    </xf>
    <xf numFmtId="0" fontId="1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21" applyFont="1" applyFill="1" applyBorder="1" applyAlignment="1">
      <alignment vertical="center"/>
      <protection/>
    </xf>
    <xf numFmtId="0" fontId="2" fillId="2" borderId="7" xfId="0" applyFont="1" applyFill="1" applyBorder="1" applyAlignment="1">
      <alignment/>
    </xf>
    <xf numFmtId="0" fontId="19" fillId="2" borderId="0" xfId="0" applyFont="1" applyFill="1" applyBorder="1" applyAlignment="1">
      <alignment horizontal="right"/>
    </xf>
    <xf numFmtId="10" fontId="19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164" fontId="18" fillId="0" borderId="0" xfId="23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14" fontId="18" fillId="0" borderId="0" xfId="23" applyNumberFormat="1" applyFont="1" applyBorder="1" applyAlignment="1">
      <alignment/>
    </xf>
    <xf numFmtId="164" fontId="18" fillId="0" borderId="0" xfId="23" applyFont="1" applyBorder="1" applyAlignment="1">
      <alignment/>
    </xf>
    <xf numFmtId="0" fontId="1" fillId="0" borderId="0" xfId="28" applyBorder="1">
      <alignment/>
      <protection/>
    </xf>
    <xf numFmtId="0" fontId="1" fillId="0" borderId="0" xfId="28">
      <alignment/>
      <protection/>
    </xf>
    <xf numFmtId="0" fontId="1" fillId="0" borderId="0" xfId="20" applyFont="1" applyBorder="1">
      <alignment/>
      <protection/>
    </xf>
    <xf numFmtId="0" fontId="29" fillId="0" borderId="0" xfId="0" applyFont="1" applyBorder="1" applyAlignment="1">
      <alignment/>
    </xf>
    <xf numFmtId="17" fontId="1" fillId="0" borderId="0" xfId="20" applyNumberFormat="1" applyFont="1" applyBorder="1" applyAlignment="1">
      <alignment horizontal="center"/>
      <protection/>
    </xf>
    <xf numFmtId="0" fontId="19" fillId="0" borderId="0" xfId="20" applyFont="1" applyBorder="1" applyAlignment="1">
      <alignment/>
      <protection/>
    </xf>
    <xf numFmtId="17" fontId="1" fillId="0" borderId="0" xfId="20" applyNumberFormat="1" applyFont="1" applyBorder="1" applyAlignment="1">
      <alignment horizontal="center" vertical="top"/>
      <protection/>
    </xf>
    <xf numFmtId="166" fontId="1" fillId="0" borderId="2" xfId="28" applyNumberFormat="1" applyFont="1" applyFill="1" applyBorder="1" applyAlignment="1">
      <alignment horizontal="center" vertical="center"/>
      <protection/>
    </xf>
    <xf numFmtId="43" fontId="1" fillId="0" borderId="0" xfId="28" applyNumberFormat="1">
      <alignment/>
      <protection/>
    </xf>
    <xf numFmtId="9" fontId="1" fillId="0" borderId="2" xfId="36" applyFont="1" applyFill="1" applyBorder="1" applyAlignment="1">
      <alignment horizontal="center" vertical="center"/>
    </xf>
    <xf numFmtId="171" fontId="32" fillId="0" borderId="2" xfId="39" applyNumberFormat="1" applyFont="1" applyFill="1" applyBorder="1" applyAlignment="1">
      <alignment horizontal="center" vertical="center"/>
      <protection/>
    </xf>
    <xf numFmtId="166" fontId="1" fillId="0" borderId="0" xfId="28" applyNumberFormat="1">
      <alignment/>
      <protection/>
    </xf>
    <xf numFmtId="171" fontId="32" fillId="0" borderId="2" xfId="39" applyNumberFormat="1" applyFont="1" applyFill="1" applyBorder="1" applyAlignment="1">
      <alignment vertical="center"/>
      <protection/>
    </xf>
    <xf numFmtId="0" fontId="1" fillId="0" borderId="0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vertical="center"/>
      <protection/>
    </xf>
    <xf numFmtId="0" fontId="10" fillId="0" borderId="0" xfId="28" applyFont="1" applyBorder="1" applyAlignment="1">
      <alignment horizontal="center" vertical="center"/>
      <protection/>
    </xf>
    <xf numFmtId="0" fontId="5" fillId="0" borderId="0" xfId="28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22" fillId="0" borderId="0" xfId="0" applyNumberFormat="1" applyFont="1" applyBorder="1" applyAlignment="1">
      <alignment/>
    </xf>
    <xf numFmtId="164" fontId="18" fillId="0" borderId="0" xfId="23" applyFont="1" applyFill="1" applyBorder="1" applyAlignment="1">
      <alignment/>
    </xf>
    <xf numFmtId="0" fontId="30" fillId="0" borderId="0" xfId="20" applyFont="1" applyFill="1" applyBorder="1" applyAlignment="1">
      <alignment/>
      <protection/>
    </xf>
    <xf numFmtId="0" fontId="27" fillId="0" borderId="0" xfId="0" applyFont="1" applyBorder="1" applyAlignment="1">
      <alignment/>
    </xf>
    <xf numFmtId="0" fontId="28" fillId="0" borderId="0" xfId="20" applyFont="1" applyBorder="1" applyAlignment="1">
      <alignment/>
      <protection/>
    </xf>
    <xf numFmtId="0" fontId="22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18" fillId="0" borderId="7" xfId="23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0" fillId="0" borderId="0" xfId="38" applyFont="1"/>
    <xf numFmtId="0" fontId="0" fillId="0" borderId="0" xfId="0" applyBorder="1"/>
    <xf numFmtId="2" fontId="1" fillId="0" borderId="0" xfId="21" applyNumberFormat="1" applyFont="1">
      <alignment/>
      <protection/>
    </xf>
    <xf numFmtId="0" fontId="0" fillId="0" borderId="2" xfId="0" applyFill="1" applyBorder="1"/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0" fillId="0" borderId="0" xfId="0" applyFill="1" applyBorder="1"/>
    <xf numFmtId="2" fontId="8" fillId="2" borderId="2" xfId="31" applyNumberFormat="1" applyFont="1" applyFill="1" applyBorder="1" applyAlignment="1">
      <alignment horizontal="center" vertical="center" wrapText="1"/>
    </xf>
    <xf numFmtId="2" fontId="8" fillId="0" borderId="3" xfId="31" applyNumberFormat="1" applyFont="1" applyFill="1" applyBorder="1" applyAlignment="1">
      <alignment horizontal="center" vertical="center"/>
    </xf>
    <xf numFmtId="2" fontId="8" fillId="0" borderId="2" xfId="31" applyNumberFormat="1" applyFont="1" applyFill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6" borderId="3" xfId="26" applyNumberFormat="1" applyFont="1" applyFill="1" applyBorder="1" applyAlignment="1">
      <alignment horizontal="center" vertical="center" wrapText="1"/>
    </xf>
    <xf numFmtId="164" fontId="2" fillId="6" borderId="3" xfId="26" applyFont="1" applyFill="1" applyBorder="1" applyAlignment="1">
      <alignment horizontal="left" vertical="center"/>
    </xf>
    <xf numFmtId="164" fontId="2" fillId="6" borderId="3" xfId="26" applyFont="1" applyFill="1" applyBorder="1" applyAlignment="1">
      <alignment horizontal="center" vertical="center" wrapText="1"/>
    </xf>
    <xf numFmtId="43" fontId="2" fillId="6" borderId="3" xfId="31" applyFont="1" applyFill="1" applyBorder="1"/>
    <xf numFmtId="44" fontId="2" fillId="6" borderId="3" xfId="38" applyFont="1" applyFill="1" applyBorder="1"/>
    <xf numFmtId="0" fontId="2" fillId="6" borderId="2" xfId="26" applyNumberFormat="1" applyFont="1" applyFill="1" applyBorder="1" applyAlignment="1">
      <alignment horizontal="center" vertical="center" wrapText="1"/>
    </xf>
    <xf numFmtId="164" fontId="2" fillId="6" borderId="2" xfId="26" applyFont="1" applyFill="1" applyBorder="1" applyAlignment="1">
      <alignment horizontal="left" vertical="center"/>
    </xf>
    <xf numFmtId="2" fontId="15" fillId="6" borderId="2" xfId="31" applyNumberFormat="1" applyFont="1" applyFill="1" applyBorder="1" applyAlignment="1">
      <alignment horizontal="center" vertical="center"/>
    </xf>
    <xf numFmtId="44" fontId="2" fillId="6" borderId="2" xfId="38" applyFont="1" applyFill="1" applyBorder="1" applyAlignment="1">
      <alignment vertical="center"/>
    </xf>
    <xf numFmtId="44" fontId="15" fillId="6" borderId="2" xfId="38" applyFont="1" applyFill="1" applyBorder="1" applyAlignment="1">
      <alignment vertical="center"/>
    </xf>
    <xf numFmtId="164" fontId="2" fillId="6" borderId="2" xfId="26" applyFont="1" applyFill="1" applyBorder="1" applyAlignment="1">
      <alignment horizontal="center" vertical="center" wrapText="1"/>
    </xf>
    <xf numFmtId="44" fontId="2" fillId="6" borderId="2" xfId="38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33" fillId="7" borderId="2" xfId="0" applyNumberFormat="1" applyFont="1" applyFill="1" applyBorder="1" applyAlignment="1">
      <alignment horizontal="center" vertical="center" wrapText="1"/>
    </xf>
    <xf numFmtId="0" fontId="4" fillId="6" borderId="2" xfId="26" applyNumberFormat="1" applyFont="1" applyFill="1" applyBorder="1" applyAlignment="1">
      <alignment horizontal="center" vertical="center" wrapText="1"/>
    </xf>
    <xf numFmtId="164" fontId="4" fillId="6" borderId="2" xfId="26" applyFont="1" applyFill="1" applyBorder="1" applyAlignment="1">
      <alignment horizontal="left" vertical="center"/>
    </xf>
    <xf numFmtId="2" fontId="4" fillId="6" borderId="2" xfId="31" applyNumberFormat="1" applyFont="1" applyFill="1" applyBorder="1" applyAlignment="1">
      <alignment horizontal="center" vertical="center"/>
    </xf>
    <xf numFmtId="44" fontId="4" fillId="6" borderId="2" xfId="38" applyFont="1" applyFill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0" fontId="3" fillId="0" borderId="2" xfId="37" applyFont="1" applyBorder="1" applyAlignment="1">
      <alignment horizontal="center" vertical="center"/>
      <protection/>
    </xf>
    <xf numFmtId="0" fontId="3" fillId="0" borderId="2" xfId="37" applyFont="1" applyBorder="1" applyAlignment="1">
      <alignment vertical="top" wrapText="1"/>
      <protection/>
    </xf>
    <xf numFmtId="0" fontId="3" fillId="2" borderId="2" xfId="37" applyFont="1" applyFill="1" applyBorder="1" applyAlignment="1">
      <alignment horizontal="center" vertical="center" wrapText="1"/>
      <protection/>
    </xf>
    <xf numFmtId="2" fontId="3" fillId="0" borderId="2" xfId="31" applyNumberFormat="1" applyFont="1" applyFill="1" applyBorder="1" applyAlignment="1">
      <alignment horizontal="center" vertical="center"/>
    </xf>
    <xf numFmtId="44" fontId="3" fillId="0" borderId="2" xfId="38" applyFont="1" applyBorder="1" applyAlignment="1">
      <alignment horizontal="center" vertical="center"/>
    </xf>
    <xf numFmtId="44" fontId="34" fillId="0" borderId="2" xfId="38" applyFont="1" applyFill="1" applyBorder="1" applyAlignment="1" applyProtection="1">
      <alignment horizontal="right" vertical="center"/>
      <protection/>
    </xf>
    <xf numFmtId="0" fontId="3" fillId="0" borderId="2" xfId="37" applyFont="1" applyFill="1" applyBorder="1" applyAlignment="1">
      <alignment horizontal="center" vertical="center"/>
      <protection/>
    </xf>
    <xf numFmtId="0" fontId="3" fillId="0" borderId="2" xfId="26" applyNumberFormat="1" applyFont="1" applyFill="1" applyBorder="1" applyAlignment="1">
      <alignment horizontal="center" vertical="center" wrapText="1"/>
    </xf>
    <xf numFmtId="164" fontId="3" fillId="0" borderId="2" xfId="26" applyFont="1" applyFill="1" applyBorder="1" applyAlignment="1">
      <alignment horizontal="left" vertical="center" wrapText="1"/>
    </xf>
    <xf numFmtId="164" fontId="3" fillId="0" borderId="2" xfId="26" applyFont="1" applyFill="1" applyBorder="1" applyAlignment="1">
      <alignment horizontal="center" vertical="center" wrapText="1"/>
    </xf>
    <xf numFmtId="44" fontId="3" fillId="0" borderId="2" xfId="38" applyFont="1" applyFill="1" applyBorder="1" applyAlignment="1">
      <alignment vertical="center"/>
    </xf>
    <xf numFmtId="164" fontId="4" fillId="6" borderId="2" xfId="26" applyFont="1" applyFill="1" applyBorder="1" applyAlignment="1">
      <alignment horizontal="center" vertical="center" wrapText="1"/>
    </xf>
    <xf numFmtId="0" fontId="3" fillId="2" borderId="2" xfId="21" applyFont="1" applyFill="1" applyBorder="1" applyAlignment="1">
      <alignment horizontal="center" vertical="center"/>
      <protection/>
    </xf>
    <xf numFmtId="2" fontId="3" fillId="0" borderId="2" xfId="31" applyNumberFormat="1" applyFont="1" applyFill="1" applyBorder="1" applyAlignment="1">
      <alignment horizontal="center" vertical="center" wrapText="1"/>
    </xf>
    <xf numFmtId="44" fontId="3" fillId="0" borderId="2" xfId="38" applyFont="1" applyFill="1" applyBorder="1" applyAlignment="1">
      <alignment horizontal="center" vertical="center"/>
    </xf>
    <xf numFmtId="44" fontId="34" fillId="2" borderId="2" xfId="38" applyFont="1" applyFill="1" applyBorder="1" applyAlignment="1" applyProtection="1">
      <alignment horizontal="right" vertical="center"/>
      <protection/>
    </xf>
    <xf numFmtId="2" fontId="3" fillId="2" borderId="2" xfId="31" applyNumberFormat="1" applyFont="1" applyFill="1" applyBorder="1" applyAlignment="1">
      <alignment horizontal="center" vertical="center" wrapText="1"/>
    </xf>
    <xf numFmtId="44" fontId="4" fillId="6" borderId="2" xfId="38" applyFont="1" applyFill="1" applyBorder="1" applyAlignment="1">
      <alignment horizontal="right" vertical="center" wrapText="1"/>
    </xf>
    <xf numFmtId="164" fontId="35" fillId="0" borderId="0" xfId="26" applyFont="1" applyAlignment="1">
      <alignment horizontal="center" vertical="center"/>
    </xf>
    <xf numFmtId="0" fontId="3" fillId="0" borderId="0" xfId="21" applyFont="1">
      <alignment/>
      <protection/>
    </xf>
    <xf numFmtId="164" fontId="35" fillId="0" borderId="0" xfId="26" applyFont="1"/>
    <xf numFmtId="0" fontId="13" fillId="0" borderId="0" xfId="26" applyNumberFormat="1" applyFont="1"/>
    <xf numFmtId="0" fontId="2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9" fillId="0" borderId="6" xfId="0" applyFont="1" applyFill="1" applyBorder="1" applyAlignment="1">
      <alignment horizontal="center"/>
    </xf>
    <xf numFmtId="164" fontId="18" fillId="0" borderId="0" xfId="23" applyFont="1" applyFill="1" applyBorder="1" applyAlignment="1">
      <alignment vertical="center"/>
    </xf>
    <xf numFmtId="0" fontId="9" fillId="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2" xfId="0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2" borderId="5" xfId="40" applyFont="1" applyFill="1" applyBorder="1" applyAlignment="1" applyProtection="1">
      <alignment horizontal="center" vertical="center"/>
      <protection locked="0"/>
    </xf>
    <xf numFmtId="0" fontId="8" fillId="0" borderId="2" xfId="41" applyFont="1" applyBorder="1" applyAlignment="1">
      <alignment horizontal="left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2" borderId="2" xfId="37" applyFont="1" applyFill="1" applyBorder="1" applyAlignment="1">
      <alignment vertical="top" wrapText="1"/>
      <protection/>
    </xf>
    <xf numFmtId="0" fontId="9" fillId="0" borderId="2" xfId="0" applyFont="1" applyBorder="1" applyAlignment="1">
      <alignment horizontal="center" wrapText="1"/>
    </xf>
    <xf numFmtId="0" fontId="41" fillId="0" borderId="5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37" fillId="0" borderId="10" xfId="0" applyFont="1" applyBorder="1"/>
    <xf numFmtId="0" fontId="37" fillId="0" borderId="0" xfId="0" applyFont="1"/>
    <xf numFmtId="0" fontId="37" fillId="0" borderId="11" xfId="0" applyFont="1" applyBorder="1"/>
    <xf numFmtId="0" fontId="42" fillId="0" borderId="12" xfId="0" applyFont="1" applyBorder="1"/>
    <xf numFmtId="0" fontId="42" fillId="0" borderId="13" xfId="0" applyFont="1" applyBorder="1"/>
    <xf numFmtId="0" fontId="42" fillId="0" borderId="14" xfId="0" applyFont="1" applyBorder="1" applyAlignment="1">
      <alignment horizontal="center"/>
    </xf>
    <xf numFmtId="10" fontId="42" fillId="8" borderId="14" xfId="36" applyNumberFormat="1" applyFont="1" applyFill="1" applyBorder="1" applyProtection="1">
      <protection locked="0"/>
    </xf>
    <xf numFmtId="0" fontId="42" fillId="0" borderId="15" xfId="0" applyFont="1" applyBorder="1"/>
    <xf numFmtId="0" fontId="42" fillId="0" borderId="16" xfId="0" applyFont="1" applyBorder="1"/>
    <xf numFmtId="0" fontId="42" fillId="0" borderId="17" xfId="0" applyFont="1" applyBorder="1" applyAlignment="1">
      <alignment horizontal="center"/>
    </xf>
    <xf numFmtId="10" fontId="42" fillId="8" borderId="17" xfId="36" applyNumberFormat="1" applyFont="1" applyFill="1" applyBorder="1" applyProtection="1">
      <protection locked="0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9" borderId="0" xfId="0" applyFont="1" applyFill="1" applyAlignment="1">
      <alignment horizontal="right" vertical="center"/>
    </xf>
    <xf numFmtId="0" fontId="38" fillId="9" borderId="0" xfId="0" applyFont="1" applyFill="1" applyAlignment="1">
      <alignment horizontal="center"/>
    </xf>
    <xf numFmtId="0" fontId="38" fillId="9" borderId="0" xfId="0" applyFont="1" applyFill="1" applyAlignment="1">
      <alignment horizontal="left"/>
    </xf>
    <xf numFmtId="0" fontId="43" fillId="9" borderId="0" xfId="0" applyFont="1" applyFill="1"/>
    <xf numFmtId="0" fontId="42" fillId="0" borderId="18" xfId="0" applyFont="1" applyBorder="1"/>
    <xf numFmtId="0" fontId="42" fillId="0" borderId="19" xfId="0" applyFont="1" applyBorder="1"/>
    <xf numFmtId="10" fontId="42" fillId="8" borderId="20" xfId="36" applyNumberFormat="1" applyFont="1" applyFill="1" applyBorder="1" applyProtection="1">
      <protection locked="0"/>
    </xf>
    <xf numFmtId="0" fontId="38" fillId="9" borderId="0" xfId="0" applyFont="1" applyFill="1" applyAlignment="1">
      <alignment vertical="center"/>
    </xf>
    <xf numFmtId="0" fontId="38" fillId="9" borderId="0" xfId="0" applyFont="1" applyFill="1" applyAlignment="1">
      <alignment horizontal="right"/>
    </xf>
    <xf numFmtId="1" fontId="38" fillId="9" borderId="0" xfId="0" applyNumberFormat="1" applyFont="1" applyFill="1" applyAlignment="1">
      <alignment horizontal="center"/>
    </xf>
    <xf numFmtId="0" fontId="42" fillId="0" borderId="21" xfId="0" applyFont="1" applyBorder="1"/>
    <xf numFmtId="0" fontId="42" fillId="0" borderId="22" xfId="0" applyFont="1" applyBorder="1"/>
    <xf numFmtId="0" fontId="42" fillId="0" borderId="2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/>
    <xf numFmtId="0" fontId="43" fillId="0" borderId="11" xfId="0" applyFont="1" applyBorder="1"/>
    <xf numFmtId="0" fontId="42" fillId="0" borderId="10" xfId="0" applyFont="1" applyBorder="1"/>
    <xf numFmtId="173" fontId="38" fillId="9" borderId="0" xfId="0" applyNumberFormat="1" applyFont="1" applyFill="1" applyAlignment="1">
      <alignment horizontal="center"/>
    </xf>
    <xf numFmtId="10" fontId="42" fillId="0" borderId="17" xfId="36" applyNumberFormat="1" applyFont="1" applyFill="1" applyBorder="1" applyProtection="1">
      <protection/>
    </xf>
    <xf numFmtId="0" fontId="42" fillId="0" borderId="24" xfId="0" applyFont="1" applyBorder="1"/>
    <xf numFmtId="0" fontId="42" fillId="0" borderId="0" xfId="0" applyFont="1"/>
    <xf numFmtId="0" fontId="42" fillId="0" borderId="25" xfId="0" applyFont="1" applyBorder="1"/>
    <xf numFmtId="10" fontId="42" fillId="0" borderId="20" xfId="36" applyNumberFormat="1" applyFont="1" applyFill="1" applyBorder="1" applyAlignment="1" applyProtection="1">
      <alignment horizontal="right"/>
      <protection/>
    </xf>
    <xf numFmtId="0" fontId="42" fillId="0" borderId="6" xfId="0" applyFont="1" applyBorder="1"/>
    <xf numFmtId="10" fontId="42" fillId="0" borderId="2" xfId="36" applyNumberFormat="1" applyFont="1" applyFill="1" applyBorder="1"/>
    <xf numFmtId="174" fontId="38" fillId="9" borderId="0" xfId="0" applyNumberFormat="1" applyFont="1" applyFill="1" applyAlignment="1">
      <alignment horizontal="center"/>
    </xf>
    <xf numFmtId="1" fontId="38" fillId="9" borderId="0" xfId="0" applyNumberFormat="1" applyFont="1" applyFill="1" applyAlignment="1">
      <alignment horizontal="left"/>
    </xf>
    <xf numFmtId="0" fontId="44" fillId="0" borderId="5" xfId="0" applyFont="1" applyBorder="1"/>
    <xf numFmtId="0" fontId="44" fillId="0" borderId="6" xfId="0" applyFont="1" applyBorder="1"/>
    <xf numFmtId="10" fontId="44" fillId="0" borderId="2" xfId="36" applyNumberFormat="1" applyFont="1" applyFill="1" applyBorder="1"/>
    <xf numFmtId="0" fontId="45" fillId="10" borderId="26" xfId="0" applyFont="1" applyFill="1" applyBorder="1" applyAlignment="1">
      <alignment horizontal="left"/>
    </xf>
    <xf numFmtId="0" fontId="45" fillId="10" borderId="13" xfId="0" applyFont="1" applyFill="1" applyBorder="1" applyAlignment="1">
      <alignment horizontal="left"/>
    </xf>
    <xf numFmtId="0" fontId="46" fillId="10" borderId="13" xfId="0" applyFont="1" applyFill="1" applyBorder="1" applyAlignment="1">
      <alignment horizontal="left"/>
    </xf>
    <xf numFmtId="4" fontId="16" fillId="5" borderId="2" xfId="0" applyNumberFormat="1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4" fontId="16" fillId="5" borderId="27" xfId="0" applyNumberFormat="1" applyFont="1" applyFill="1" applyBorder="1" applyAlignment="1">
      <alignment horizontal="center" vertical="center" wrapText="1"/>
    </xf>
    <xf numFmtId="4" fontId="16" fillId="5" borderId="3" xfId="0" applyNumberFormat="1" applyFont="1" applyFill="1" applyBorder="1" applyAlignment="1">
      <alignment horizontal="center" vertical="center" wrapText="1"/>
    </xf>
    <xf numFmtId="0" fontId="2" fillId="6" borderId="5" xfId="26" applyNumberFormat="1" applyFont="1" applyFill="1" applyBorder="1" applyAlignment="1">
      <alignment horizontal="center" vertical="center" wrapText="1"/>
    </xf>
    <xf numFmtId="0" fontId="2" fillId="6" borderId="6" xfId="26" applyNumberFormat="1" applyFont="1" applyFill="1" applyBorder="1" applyAlignment="1">
      <alignment horizontal="center" vertical="center" wrapText="1"/>
    </xf>
    <xf numFmtId="0" fontId="2" fillId="6" borderId="4" xfId="26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wrapText="1"/>
    </xf>
    <xf numFmtId="0" fontId="16" fillId="5" borderId="4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" fillId="0" borderId="5" xfId="28" applyFont="1" applyFill="1" applyBorder="1" applyAlignment="1">
      <alignment horizontal="left" vertical="center"/>
      <protection/>
    </xf>
    <xf numFmtId="0" fontId="2" fillId="0" borderId="4" xfId="28" applyFont="1" applyFill="1" applyBorder="1" applyAlignment="1">
      <alignment horizontal="left" vertical="center"/>
      <protection/>
    </xf>
    <xf numFmtId="0" fontId="1" fillId="0" borderId="2" xfId="28" applyFont="1" applyFill="1" applyBorder="1" applyAlignment="1">
      <alignment horizontal="center" vertical="center"/>
      <protection/>
    </xf>
    <xf numFmtId="0" fontId="1" fillId="0" borderId="2" xfId="28" applyNumberFormat="1" applyFont="1" applyFill="1" applyBorder="1" applyAlignment="1">
      <alignment horizontal="justify" vertical="center" wrapText="1"/>
      <protection/>
    </xf>
    <xf numFmtId="166" fontId="2" fillId="0" borderId="27" xfId="28" applyNumberFormat="1" applyFont="1" applyFill="1" applyBorder="1" applyAlignment="1">
      <alignment horizontal="center" vertical="center"/>
      <protection/>
    </xf>
    <xf numFmtId="166" fontId="2" fillId="0" borderId="23" xfId="28" applyNumberFormat="1" applyFont="1" applyFill="1" applyBorder="1" applyAlignment="1">
      <alignment horizontal="center" vertical="center"/>
      <protection/>
    </xf>
    <xf numFmtId="166" fontId="2" fillId="0" borderId="3" xfId="28" applyNumberFormat="1" applyFont="1" applyFill="1" applyBorder="1" applyAlignment="1">
      <alignment horizontal="center" vertical="center"/>
      <protection/>
    </xf>
    <xf numFmtId="0" fontId="1" fillId="0" borderId="3" xfId="28" applyFont="1" applyFill="1" applyBorder="1" applyAlignment="1">
      <alignment horizontal="center" vertical="center"/>
      <protection/>
    </xf>
    <xf numFmtId="0" fontId="1" fillId="0" borderId="3" xfId="28" applyNumberFormat="1" applyFont="1" applyFill="1" applyBorder="1" applyAlignment="1">
      <alignment horizontal="justify" vertical="center" wrapText="1"/>
      <protection/>
    </xf>
    <xf numFmtId="0" fontId="1" fillId="0" borderId="27" xfId="28" applyFont="1" applyFill="1" applyBorder="1" applyAlignment="1">
      <alignment horizontal="center" vertical="center"/>
      <protection/>
    </xf>
    <xf numFmtId="0" fontId="1" fillId="0" borderId="23" xfId="28" applyFont="1" applyFill="1" applyBorder="1" applyAlignment="1">
      <alignment horizontal="center" vertical="center"/>
      <protection/>
    </xf>
    <xf numFmtId="0" fontId="1" fillId="0" borderId="27" xfId="28" applyNumberFormat="1" applyFont="1" applyFill="1" applyBorder="1" applyAlignment="1">
      <alignment horizontal="left" vertical="center" wrapText="1"/>
      <protection/>
    </xf>
    <xf numFmtId="0" fontId="1" fillId="0" borderId="23" xfId="28" applyNumberFormat="1" applyFont="1" applyFill="1" applyBorder="1" applyAlignment="1">
      <alignment horizontal="left" vertical="center" wrapText="1"/>
      <protection/>
    </xf>
    <xf numFmtId="0" fontId="1" fillId="0" borderId="3" xfId="28" applyNumberFormat="1" applyFont="1" applyFill="1" applyBorder="1" applyAlignment="1">
      <alignment horizontal="left" vertical="center" wrapText="1"/>
      <protection/>
    </xf>
    <xf numFmtId="0" fontId="20" fillId="0" borderId="0" xfId="0" applyFont="1" applyBorder="1" applyAlignment="1">
      <alignment horizontal="center"/>
    </xf>
    <xf numFmtId="0" fontId="1" fillId="0" borderId="2" xfId="28" applyFont="1" applyFill="1" applyBorder="1" applyAlignment="1">
      <alignment horizontal="center"/>
      <protection/>
    </xf>
    <xf numFmtId="0" fontId="19" fillId="0" borderId="2" xfId="20" applyFont="1" applyFill="1" applyBorder="1" applyAlignment="1">
      <alignment horizontal="center" vertical="center"/>
      <protection/>
    </xf>
    <xf numFmtId="0" fontId="2" fillId="0" borderId="2" xfId="28" applyFont="1" applyFill="1" applyBorder="1" applyAlignment="1">
      <alignment horizontal="center"/>
      <protection/>
    </xf>
    <xf numFmtId="0" fontId="24" fillId="6" borderId="28" xfId="0" applyFont="1" applyFill="1" applyBorder="1" applyAlignment="1">
      <alignment horizontal="center" vertical="center" wrapText="1" readingOrder="1"/>
    </xf>
    <xf numFmtId="0" fontId="24" fillId="6" borderId="29" xfId="0" applyFont="1" applyFill="1" applyBorder="1" applyAlignment="1">
      <alignment horizontal="center" vertical="center" wrapText="1" readingOrder="1"/>
    </xf>
    <xf numFmtId="0" fontId="24" fillId="6" borderId="30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33" fillId="7" borderId="27" xfId="0" applyNumberFormat="1" applyFont="1" applyFill="1" applyBorder="1" applyAlignment="1">
      <alignment horizontal="center" vertical="center" wrapText="1"/>
    </xf>
    <xf numFmtId="4" fontId="33" fillId="7" borderId="3" xfId="0" applyNumberFormat="1" applyFont="1" applyFill="1" applyBorder="1" applyAlignment="1">
      <alignment horizontal="center" vertical="center" wrapText="1"/>
    </xf>
    <xf numFmtId="4" fontId="33" fillId="7" borderId="27" xfId="0" applyNumberFormat="1" applyFont="1" applyFill="1" applyBorder="1" applyAlignment="1">
      <alignment horizontal="center" vertical="center"/>
    </xf>
    <xf numFmtId="4" fontId="33" fillId="7" borderId="3" xfId="0" applyNumberFormat="1" applyFont="1" applyFill="1" applyBorder="1" applyAlignment="1">
      <alignment horizontal="center" vertical="center"/>
    </xf>
    <xf numFmtId="0" fontId="4" fillId="6" borderId="5" xfId="26" applyNumberFormat="1" applyFont="1" applyFill="1" applyBorder="1" applyAlignment="1">
      <alignment horizontal="center" vertical="center" wrapText="1"/>
    </xf>
    <xf numFmtId="0" fontId="4" fillId="6" borderId="6" xfId="26" applyNumberFormat="1" applyFont="1" applyFill="1" applyBorder="1" applyAlignment="1">
      <alignment horizontal="center" vertical="center" wrapText="1"/>
    </xf>
    <xf numFmtId="0" fontId="4" fillId="6" borderId="4" xfId="26" applyNumberFormat="1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33" fillId="7" borderId="5" xfId="0" applyFont="1" applyFill="1" applyBorder="1" applyAlignment="1">
      <alignment horizontal="center" wrapText="1"/>
    </xf>
    <xf numFmtId="0" fontId="33" fillId="7" borderId="4" xfId="0" applyFont="1" applyFill="1" applyBorder="1" applyAlignment="1">
      <alignment horizontal="center" wrapText="1"/>
    </xf>
    <xf numFmtId="4" fontId="33" fillId="7" borderId="2" xfId="0" applyNumberFormat="1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34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justify" wrapText="1"/>
    </xf>
    <xf numFmtId="0" fontId="39" fillId="0" borderId="0" xfId="0" applyFont="1" applyAlignment="1">
      <alignment horizontal="center" wrapText="1"/>
    </xf>
    <xf numFmtId="0" fontId="38" fillId="9" borderId="10" xfId="0" applyFont="1" applyFill="1" applyBorder="1" applyAlignment="1">
      <alignment horizontal="center" vertical="center"/>
    </xf>
    <xf numFmtId="1" fontId="43" fillId="9" borderId="11" xfId="0" applyNumberFormat="1" applyFont="1" applyFill="1" applyBorder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1" fontId="38" fillId="9" borderId="0" xfId="0" applyNumberFormat="1" applyFont="1" applyFill="1" applyAlignment="1">
      <alignment horizontal="left" vertical="center"/>
    </xf>
    <xf numFmtId="0" fontId="38" fillId="0" borderId="33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11" borderId="36" xfId="0" applyFont="1" applyFill="1" applyBorder="1" applyAlignment="1">
      <alignment horizontal="center"/>
    </xf>
    <xf numFmtId="0" fontId="38" fillId="11" borderId="31" xfId="0" applyFont="1" applyFill="1" applyBorder="1" applyAlignment="1">
      <alignment horizontal="center"/>
    </xf>
    <xf numFmtId="0" fontId="38" fillId="11" borderId="37" xfId="0" applyFont="1" applyFill="1" applyBorder="1" applyAlignment="1">
      <alignment horizontal="center"/>
    </xf>
    <xf numFmtId="0" fontId="38" fillId="12" borderId="31" xfId="0" applyFont="1" applyFill="1" applyBorder="1" applyAlignment="1">
      <alignment horizontal="center"/>
    </xf>
    <xf numFmtId="0" fontId="38" fillId="12" borderId="38" xfId="0" applyFont="1" applyFill="1" applyBorder="1" applyAlignment="1">
      <alignment horizontal="center"/>
    </xf>
    <xf numFmtId="0" fontId="45" fillId="10" borderId="18" xfId="0" applyFont="1" applyFill="1" applyBorder="1" applyAlignment="1">
      <alignment horizontal="left" vertical="center"/>
    </xf>
    <xf numFmtId="0" fontId="45" fillId="10" borderId="12" xfId="0" applyFont="1" applyFill="1" applyBorder="1" applyAlignment="1">
      <alignment horizontal="left" vertical="center"/>
    </xf>
    <xf numFmtId="0" fontId="45" fillId="10" borderId="19" xfId="0" applyFont="1" applyFill="1" applyBorder="1" applyAlignment="1">
      <alignment horizontal="left" vertical="center"/>
    </xf>
    <xf numFmtId="0" fontId="45" fillId="10" borderId="13" xfId="0" applyFont="1" applyFill="1" applyBorder="1" applyAlignment="1">
      <alignment horizontal="left" vertical="center"/>
    </xf>
    <xf numFmtId="0" fontId="46" fillId="10" borderId="19" xfId="0" applyFont="1" applyFill="1" applyBorder="1" applyAlignment="1">
      <alignment horizontal="left" vertical="center"/>
    </xf>
    <xf numFmtId="0" fontId="46" fillId="10" borderId="13" xfId="0" applyFont="1" applyFill="1" applyBorder="1" applyAlignment="1">
      <alignment horizontal="left" vertical="center"/>
    </xf>
    <xf numFmtId="0" fontId="46" fillId="10" borderId="39" xfId="0" applyFont="1" applyFill="1" applyBorder="1" applyAlignment="1">
      <alignment horizontal="left" vertical="center"/>
    </xf>
    <xf numFmtId="0" fontId="46" fillId="10" borderId="40" xfId="0" applyFont="1" applyFill="1" applyBorder="1" applyAlignment="1">
      <alignment horizontal="left" vertical="center"/>
    </xf>
    <xf numFmtId="0" fontId="38" fillId="0" borderId="4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14" fontId="39" fillId="0" borderId="0" xfId="0" applyNumberFormat="1" applyFont="1" applyAlignment="1">
      <alignment horizontal="left" wrapText="1"/>
    </xf>
    <xf numFmtId="14" fontId="39" fillId="0" borderId="11" xfId="0" applyNumberFormat="1" applyFont="1" applyBorder="1" applyAlignment="1">
      <alignment horizontal="left" wrapText="1"/>
    </xf>
    <xf numFmtId="0" fontId="38" fillId="0" borderId="41" xfId="0" applyFont="1" applyBorder="1" applyAlignment="1">
      <alignment horizontal="left"/>
    </xf>
    <xf numFmtId="0" fontId="38" fillId="0" borderId="0" xfId="0" applyFont="1" applyAlignment="1">
      <alignment horizontal="left"/>
    </xf>
    <xf numFmtId="14" fontId="40" fillId="0" borderId="0" xfId="0" applyNumberFormat="1" applyFont="1" applyAlignment="1">
      <alignment horizontal="left"/>
    </xf>
    <xf numFmtId="0" fontId="39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2" xfId="0" applyFont="1" applyBorder="1" applyAlignment="1">
      <alignment horizontal="center" vertical="center"/>
    </xf>
    <xf numFmtId="0" fontId="38" fillId="0" borderId="41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orcentagem 2" xfId="22"/>
    <cellStyle name="Separador de milhares 2" xfId="23"/>
    <cellStyle name="Separador de milhares 4" xfId="24"/>
    <cellStyle name="Total" xfId="25"/>
    <cellStyle name="Vírgula 2" xfId="26"/>
    <cellStyle name="Moeda 2" xfId="27"/>
    <cellStyle name="Normal 3 2" xfId="28"/>
    <cellStyle name="0,0_x000d__x000a_NA_x000d__x000a_ 2" xfId="29"/>
    <cellStyle name="Separador de milhares 2 2" xfId="30"/>
    <cellStyle name="Vírgula" xfId="31"/>
    <cellStyle name="Normal 8" xfId="32"/>
    <cellStyle name="Porcentagem 7" xfId="33"/>
    <cellStyle name="Vírgula 6" xfId="34"/>
    <cellStyle name="Separador de milhares 4 2" xfId="35"/>
    <cellStyle name="Porcentagem" xfId="36"/>
    <cellStyle name="Normal 5" xfId="37"/>
    <cellStyle name="Moeda" xfId="38"/>
    <cellStyle name="Normal_Cronograma" xfId="39"/>
    <cellStyle name="Normal_MODELO DE MEMÓRIA E PLANILHA" xfId="40"/>
    <cellStyle name="Normal_Plan1" xfId="41"/>
  </cellStyles>
  <dxfs count="13">
    <dxf>
      <font>
        <b val="0"/>
        <i val="0"/>
        <condense val="0"/>
        <extend val="0"/>
      </font>
      <fill>
        <patternFill patternType="none"/>
      </fill>
      <border>
        <left style="hair"/>
        <right style="hair"/>
        <top style="hair"/>
        <bottom style="hair"/>
      </border>
    </dxf>
    <dxf>
      <font>
        <b/>
        <i/>
        <condense val="0"/>
        <extend val="0"/>
      </font>
      <fill>
        <patternFill patternType="none"/>
      </fill>
      <border>
        <left style="hair"/>
        <right style="hair"/>
        <top style="hair"/>
        <bottom style="hair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hair"/>
        <right style="hair"/>
        <top style="hair"/>
        <bottom style="hair"/>
      </border>
    </dxf>
    <dxf>
      <fill>
        <patternFill patternType="darkGray"/>
      </fill>
      <border/>
    </dxf>
    <dxf>
      <fill>
        <patternFill patternType="darkGray"/>
      </fill>
      <border/>
    </dxf>
    <dxf>
      <fill>
        <patternFill patternType="darkGray"/>
      </fill>
      <border/>
    </dxf>
    <dxf>
      <fill>
        <patternFill patternType="darkGray"/>
      </fill>
      <border/>
    </dxf>
    <dxf>
      <fill>
        <patternFill patternType="darkGray"/>
      </fill>
      <border/>
    </dxf>
    <dxf>
      <fill>
        <patternFill patternType="darkGray"/>
      </fill>
      <border/>
    </dxf>
    <dxf>
      <fill>
        <patternFill patternType="darkGray"/>
      </fill>
      <border/>
    </dxf>
    <dxf>
      <fill>
        <patternFill patternType="darkGray"/>
      </fill>
      <border/>
    </dxf>
    <dxf>
      <fill>
        <patternFill patternType="darkGray"/>
      </fill>
      <border/>
    </dxf>
    <dxf>
      <fill>
        <patternFill patternType="darkGray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8</xdr:col>
      <xdr:colOff>571500</xdr:colOff>
      <xdr:row>5</xdr:row>
      <xdr:rowOff>95250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95250"/>
          <a:ext cx="10258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76200</xdr:rowOff>
    </xdr:from>
    <xdr:to>
      <xdr:col>8</xdr:col>
      <xdr:colOff>0</xdr:colOff>
      <xdr:row>5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43425" y="76200"/>
          <a:ext cx="59721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6</xdr:col>
      <xdr:colOff>1038225</xdr:colOff>
      <xdr:row>4</xdr:row>
      <xdr:rowOff>161925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66675"/>
          <a:ext cx="10001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3</xdr:col>
      <xdr:colOff>1562100</xdr:colOff>
      <xdr:row>4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7150"/>
          <a:ext cx="10001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8</xdr:col>
      <xdr:colOff>304800</xdr:colOff>
      <xdr:row>4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" y="76200"/>
          <a:ext cx="10258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4</xdr:col>
      <xdr:colOff>0</xdr:colOff>
      <xdr:row>4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66675"/>
          <a:ext cx="10001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333375</xdr:colOff>
      <xdr:row>4</xdr:row>
      <xdr:rowOff>104775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458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L160"/>
  <sheetViews>
    <sheetView showGridLines="0" view="pageLayout" zoomScaleSheetLayoutView="100" workbookViewId="0" topLeftCell="A8">
      <selection activeCell="C20" sqref="C20"/>
    </sheetView>
  </sheetViews>
  <sheetFormatPr defaultColWidth="9.140625" defaultRowHeight="15"/>
  <cols>
    <col min="1" max="1" width="8.57421875" style="35" customWidth="1"/>
    <col min="2" max="2" width="19.00390625" style="20" bestFit="1" customWidth="1"/>
    <col min="3" max="3" width="66.00390625" style="20" customWidth="1"/>
    <col min="4" max="4" width="6.00390625" style="36" bestFit="1" customWidth="1"/>
    <col min="5" max="5" width="9.8515625" style="33" bestFit="1" customWidth="1"/>
    <col min="6" max="6" width="11.8515625" style="33" customWidth="1"/>
    <col min="7" max="7" width="11.28125" style="33" bestFit="1" customWidth="1"/>
    <col min="8" max="8" width="19.28125" style="33" customWidth="1"/>
    <col min="9" max="9" width="17.8515625" style="33" customWidth="1"/>
    <col min="10" max="10" width="12.8515625" style="19" bestFit="1" customWidth="1"/>
    <col min="11" max="11" width="15.28125" style="20" bestFit="1" customWidth="1"/>
    <col min="12" max="12" width="9.140625" style="20" customWidth="1"/>
    <col min="13" max="13" width="9.28125" style="20" bestFit="1" customWidth="1"/>
    <col min="14" max="16384" width="9.140625" style="20" customWidth="1"/>
  </cols>
  <sheetData>
    <row r="1" ht="12.75"/>
    <row r="2" ht="12.75"/>
    <row r="3" ht="12.75"/>
    <row r="4" ht="12.75"/>
    <row r="5" ht="12.75"/>
    <row r="6" ht="12.75"/>
    <row r="7" spans="1:9" ht="21">
      <c r="A7" s="143" t="s">
        <v>106</v>
      </c>
      <c r="B7" s="143"/>
      <c r="C7" s="143"/>
      <c r="D7" s="143"/>
      <c r="E7" s="143"/>
      <c r="F7" s="143"/>
      <c r="G7" s="143"/>
      <c r="H7" s="143"/>
      <c r="I7" s="143"/>
    </row>
    <row r="8" spans="1:9" ht="15" customHeight="1">
      <c r="A8" s="104" t="s">
        <v>169</v>
      </c>
      <c r="D8" s="20"/>
      <c r="E8" s="20"/>
      <c r="F8" s="20"/>
      <c r="G8" s="20"/>
      <c r="H8" s="20"/>
      <c r="I8" s="20"/>
    </row>
    <row r="9" spans="1:9" ht="15">
      <c r="A9" s="106" t="s">
        <v>91</v>
      </c>
      <c r="B9" s="98"/>
      <c r="C9" s="98"/>
      <c r="D9" s="98"/>
      <c r="E9" s="98"/>
      <c r="F9" s="20"/>
      <c r="G9" s="20"/>
      <c r="H9" s="20"/>
      <c r="I9" s="98"/>
    </row>
    <row r="10" spans="1:9" ht="15.75" customHeight="1">
      <c r="A10" s="108" t="s">
        <v>107</v>
      </c>
      <c r="B10" s="98"/>
      <c r="C10" s="149"/>
      <c r="D10" s="110"/>
      <c r="E10" s="110"/>
      <c r="F10" s="110" t="s">
        <v>108</v>
      </c>
      <c r="G10" s="98"/>
      <c r="H10" s="110" t="s">
        <v>109</v>
      </c>
      <c r="I10" s="144"/>
    </row>
    <row r="11" spans="1:9" ht="14.25" customHeight="1">
      <c r="A11" s="108" t="s">
        <v>110</v>
      </c>
      <c r="B11" s="145"/>
      <c r="C11" s="145"/>
      <c r="D11" s="145"/>
      <c r="E11" s="145"/>
      <c r="F11" s="147" t="s">
        <v>25</v>
      </c>
      <c r="G11" s="148">
        <v>0.2652</v>
      </c>
      <c r="H11" s="146" t="s">
        <v>167</v>
      </c>
      <c r="I11" s="146"/>
    </row>
    <row r="12" spans="1:9" ht="15">
      <c r="A12" s="316" t="s">
        <v>29</v>
      </c>
      <c r="B12" s="316" t="s">
        <v>3</v>
      </c>
      <c r="C12" s="316" t="s">
        <v>28</v>
      </c>
      <c r="D12" s="316" t="s">
        <v>16</v>
      </c>
      <c r="E12" s="318" t="s">
        <v>1</v>
      </c>
      <c r="F12" s="323" t="s">
        <v>2</v>
      </c>
      <c r="G12" s="324"/>
      <c r="H12" s="318" t="s">
        <v>26</v>
      </c>
      <c r="I12" s="315" t="s">
        <v>27</v>
      </c>
    </row>
    <row r="13" spans="1:9" ht="15">
      <c r="A13" s="317"/>
      <c r="B13" s="317"/>
      <c r="C13" s="317"/>
      <c r="D13" s="317"/>
      <c r="E13" s="319"/>
      <c r="F13" s="67" t="s">
        <v>23</v>
      </c>
      <c r="G13" s="67" t="s">
        <v>24</v>
      </c>
      <c r="H13" s="319"/>
      <c r="I13" s="315"/>
    </row>
    <row r="14" spans="1:9" ht="15">
      <c r="A14" s="201" t="s">
        <v>5</v>
      </c>
      <c r="B14" s="201"/>
      <c r="C14" s="202" t="s">
        <v>54</v>
      </c>
      <c r="D14" s="203"/>
      <c r="E14" s="204"/>
      <c r="F14" s="205"/>
      <c r="G14" s="205"/>
      <c r="H14" s="205">
        <f>SUM(H15:H15)</f>
        <v>1744.74</v>
      </c>
      <c r="I14" s="205">
        <f>SUM(I15)</f>
        <v>2207.46</v>
      </c>
    </row>
    <row r="15" spans="1:9" ht="15">
      <c r="A15" s="62" t="s">
        <v>98</v>
      </c>
      <c r="B15" s="260" t="s">
        <v>166</v>
      </c>
      <c r="C15" s="261" t="s">
        <v>55</v>
      </c>
      <c r="D15" s="53" t="s">
        <v>9</v>
      </c>
      <c r="E15" s="197">
        <v>6</v>
      </c>
      <c r="F15" s="83">
        <v>290.79</v>
      </c>
      <c r="G15" s="84">
        <f>(_xlfn.IFERROR((F15*((1+$G$11))),"-"))</f>
        <v>367.91</v>
      </c>
      <c r="H15" s="84">
        <f>_xlfn.IFERROR(E15*F15,"-")</f>
        <v>1744.74</v>
      </c>
      <c r="I15" s="84">
        <f>_xlfn.IFERROR(E15*G15,"-")</f>
        <v>2207.46</v>
      </c>
    </row>
    <row r="16" spans="1:9" ht="15">
      <c r="A16" s="21"/>
      <c r="B16" s="22"/>
      <c r="C16" s="23"/>
      <c r="D16" s="18"/>
      <c r="E16" s="198"/>
      <c r="F16" s="85"/>
      <c r="G16" s="84"/>
      <c r="H16" s="84"/>
      <c r="I16" s="84"/>
    </row>
    <row r="17" spans="1:11" s="40" customFormat="1" ht="15">
      <c r="A17" s="206" t="s">
        <v>6</v>
      </c>
      <c r="B17" s="206"/>
      <c r="C17" s="207" t="s">
        <v>65</v>
      </c>
      <c r="D17" s="207"/>
      <c r="E17" s="208"/>
      <c r="F17" s="209"/>
      <c r="G17" s="210"/>
      <c r="H17" s="209">
        <f>SUM(H18:H20)</f>
        <v>587768.32</v>
      </c>
      <c r="I17" s="209">
        <f>SUM(I18:I20)</f>
        <v>743472.65</v>
      </c>
      <c r="J17" s="39"/>
      <c r="K17" s="97"/>
    </row>
    <row r="18" spans="1:9" ht="15">
      <c r="A18" s="60" t="s">
        <v>30</v>
      </c>
      <c r="B18" s="262" t="s">
        <v>126</v>
      </c>
      <c r="C18" s="259" t="s">
        <v>127</v>
      </c>
      <c r="D18" s="54" t="s">
        <v>9</v>
      </c>
      <c r="E18" s="198">
        <f>'M CÁLCULO'!F30</f>
        <v>13866.85</v>
      </c>
      <c r="F18" s="88">
        <v>2.11</v>
      </c>
      <c r="G18" s="84">
        <f>(_xlfn.IFERROR((F18*((1+$G$11))),"-"))</f>
        <v>2.67</v>
      </c>
      <c r="H18" s="84">
        <f>_xlfn.IFERROR(E18*F18,"-")</f>
        <v>29259.05</v>
      </c>
      <c r="I18" s="84">
        <f>_xlfn.IFERROR(E18*G18,"-")</f>
        <v>37024.49</v>
      </c>
    </row>
    <row r="19" spans="1:9" ht="21">
      <c r="A19" s="60" t="s">
        <v>70</v>
      </c>
      <c r="B19" s="262" t="s">
        <v>176</v>
      </c>
      <c r="C19" s="259" t="s">
        <v>177</v>
      </c>
      <c r="D19" s="54" t="s">
        <v>178</v>
      </c>
      <c r="E19" s="198">
        <v>554.66</v>
      </c>
      <c r="F19" s="88">
        <v>962.3</v>
      </c>
      <c r="G19" s="84">
        <f>(_xlfn.IFERROR((F19*((1+$G$11))),"-"))</f>
        <v>1217.5</v>
      </c>
      <c r="H19" s="84">
        <f>_xlfn.IFERROR(E19*F19,"-")</f>
        <v>533749.32</v>
      </c>
      <c r="I19" s="84">
        <f>_xlfn.IFERROR(E19*G19,"-")</f>
        <v>675298.55</v>
      </c>
    </row>
    <row r="20" spans="1:9" ht="20.4">
      <c r="A20" s="60" t="s">
        <v>71</v>
      </c>
      <c r="B20" s="52">
        <v>95430</v>
      </c>
      <c r="C20" s="50" t="s">
        <v>72</v>
      </c>
      <c r="D20" s="54" t="s">
        <v>69</v>
      </c>
      <c r="E20" s="198">
        <f>'M CÁLCULO'!D35</f>
        <v>79870.8</v>
      </c>
      <c r="F20" s="88">
        <v>0.31</v>
      </c>
      <c r="G20" s="84">
        <f>(_xlfn.IFERROR((F20*((1+$G$11))),"-"))</f>
        <v>0.39</v>
      </c>
      <c r="H20" s="84">
        <f>_xlfn.IFERROR(E20*F20,"-")</f>
        <v>24759.95</v>
      </c>
      <c r="I20" s="84">
        <f>_xlfn.IFERROR(E20*G20,"-")</f>
        <v>31149.61</v>
      </c>
    </row>
    <row r="21" spans="1:9" ht="15">
      <c r="A21" s="21"/>
      <c r="B21" s="22"/>
      <c r="C21" s="23"/>
      <c r="D21" s="18"/>
      <c r="E21" s="198"/>
      <c r="F21" s="85"/>
      <c r="G21" s="84"/>
      <c r="H21" s="84"/>
      <c r="I21" s="84"/>
    </row>
    <row r="22" spans="1:10" s="40" customFormat="1" ht="16.5" customHeight="1">
      <c r="A22" s="206" t="s">
        <v>7</v>
      </c>
      <c r="B22" s="206"/>
      <c r="C22" s="207" t="s">
        <v>168</v>
      </c>
      <c r="D22" s="211"/>
      <c r="E22" s="208"/>
      <c r="F22" s="209"/>
      <c r="G22" s="210"/>
      <c r="H22" s="209">
        <f>SUM(H23:H24)</f>
        <v>13524.84</v>
      </c>
      <c r="I22" s="209">
        <f>SUM(I23:I24)</f>
        <v>17113.6</v>
      </c>
      <c r="J22" s="39"/>
    </row>
    <row r="23" spans="1:10" s="26" customFormat="1" ht="23.25" customHeight="1">
      <c r="A23" s="61" t="s">
        <v>31</v>
      </c>
      <c r="B23" s="52">
        <v>72947</v>
      </c>
      <c r="C23" s="50" t="s">
        <v>77</v>
      </c>
      <c r="D23" s="53" t="s">
        <v>9</v>
      </c>
      <c r="E23" s="196">
        <f>'M CÁLCULO'!D75</f>
        <v>806.82</v>
      </c>
      <c r="F23" s="83">
        <v>15.64</v>
      </c>
      <c r="G23" s="84">
        <f>(_xlfn.IFERROR((F23*((1+$G$11))),"-"))</f>
        <v>19.79</v>
      </c>
      <c r="H23" s="89">
        <f aca="true" t="shared" si="0" ref="H23">_xlfn.IFERROR(E23*F23,"-")</f>
        <v>12618.66</v>
      </c>
      <c r="I23" s="84">
        <f>_xlfn.IFERROR(E23*G23,"-")</f>
        <v>15966.97</v>
      </c>
      <c r="J23" s="19"/>
    </row>
    <row r="24" spans="1:10" s="26" customFormat="1" ht="20.4">
      <c r="A24" s="61" t="s">
        <v>84</v>
      </c>
      <c r="B24" s="52">
        <v>72947</v>
      </c>
      <c r="C24" s="263" t="s">
        <v>85</v>
      </c>
      <c r="D24" s="53" t="s">
        <v>9</v>
      </c>
      <c r="E24" s="196">
        <f>'M CÁLCULO'!H94</f>
        <v>57.94</v>
      </c>
      <c r="F24" s="83">
        <v>15.64</v>
      </c>
      <c r="G24" s="84">
        <f>(_xlfn.IFERROR((F24*((1+$G$11))),"-"))</f>
        <v>19.79</v>
      </c>
      <c r="H24" s="89">
        <f aca="true" t="shared" si="1" ref="H24">_xlfn.IFERROR(E24*F24,"-")</f>
        <v>906.18</v>
      </c>
      <c r="I24" s="84">
        <f aca="true" t="shared" si="2" ref="I24">_xlfn.IFERROR(E24*G24,"-")</f>
        <v>1146.63</v>
      </c>
      <c r="J24" s="19"/>
    </row>
    <row r="25" spans="1:10" s="26" customFormat="1" ht="15">
      <c r="A25" s="61"/>
      <c r="B25" s="52"/>
      <c r="C25" s="50"/>
      <c r="D25" s="53"/>
      <c r="E25" s="196"/>
      <c r="F25" s="83"/>
      <c r="G25" s="84"/>
      <c r="H25" s="89"/>
      <c r="I25" s="84"/>
      <c r="J25" s="19"/>
    </row>
    <row r="26" spans="1:10" ht="15">
      <c r="A26" s="60"/>
      <c r="B26" s="22"/>
      <c r="C26" s="23"/>
      <c r="D26" s="18"/>
      <c r="E26" s="64"/>
      <c r="F26" s="90"/>
      <c r="G26" s="84"/>
      <c r="H26" s="89"/>
      <c r="I26" s="84"/>
      <c r="J26" s="27"/>
    </row>
    <row r="27" spans="1:10" s="40" customFormat="1" ht="15" hidden="1">
      <c r="A27" s="37" t="s">
        <v>8</v>
      </c>
      <c r="B27" s="37"/>
      <c r="C27" s="41"/>
      <c r="D27" s="42"/>
      <c r="E27" s="63"/>
      <c r="F27" s="86"/>
      <c r="G27" s="87"/>
      <c r="H27" s="87">
        <f>SUM(H28:H29)</f>
        <v>0</v>
      </c>
      <c r="I27" s="87">
        <f>SUM(I28:I29)</f>
        <v>0</v>
      </c>
      <c r="J27" s="39"/>
    </row>
    <row r="28" spans="1:9" ht="15" hidden="1">
      <c r="A28" s="60" t="s">
        <v>32</v>
      </c>
      <c r="B28" s="57"/>
      <c r="C28" s="56"/>
      <c r="D28" s="58"/>
      <c r="E28" s="59"/>
      <c r="F28" s="83"/>
      <c r="G28" s="84">
        <f>(_xlfn.IFERROR((F28*((1+$G$11))),"-"))</f>
        <v>0</v>
      </c>
      <c r="H28" s="84">
        <f aca="true" t="shared" si="3" ref="H28">_xlfn.IFERROR(E28*F28,"-")</f>
        <v>0</v>
      </c>
      <c r="I28" s="84">
        <f aca="true" t="shared" si="4" ref="I28">_xlfn.IFERROR(E28*G28,"-")</f>
        <v>0</v>
      </c>
    </row>
    <row r="29" spans="1:10" s="26" customFormat="1" ht="15" hidden="1">
      <c r="A29" s="61"/>
      <c r="B29" s="57"/>
      <c r="C29" s="56"/>
      <c r="D29" s="58"/>
      <c r="E29" s="59"/>
      <c r="F29" s="91"/>
      <c r="G29" s="84"/>
      <c r="H29" s="84"/>
      <c r="I29" s="84"/>
      <c r="J29" s="19"/>
    </row>
    <row r="30" spans="1:10" s="40" customFormat="1" ht="15" hidden="1">
      <c r="A30" s="37" t="s">
        <v>10</v>
      </c>
      <c r="B30" s="37"/>
      <c r="C30" s="38"/>
      <c r="D30" s="42"/>
      <c r="E30" s="63"/>
      <c r="F30" s="86"/>
      <c r="G30" s="87"/>
      <c r="H30" s="87">
        <f>SUM(H31:H34)</f>
        <v>0</v>
      </c>
      <c r="I30" s="87">
        <f>SUM(I31:I34)</f>
        <v>0</v>
      </c>
      <c r="J30" s="39"/>
    </row>
    <row r="31" spans="1:9" ht="25.5" customHeight="1" hidden="1">
      <c r="A31" s="60" t="s">
        <v>33</v>
      </c>
      <c r="B31" s="53"/>
      <c r="C31" s="70"/>
      <c r="D31" s="52"/>
      <c r="E31" s="59"/>
      <c r="F31" s="88"/>
      <c r="G31" s="84">
        <f aca="true" t="shared" si="5" ref="G31:G33">(_xlfn.IFERROR((F31*((1+$G$11))),"-"))</f>
        <v>0</v>
      </c>
      <c r="H31" s="84">
        <f aca="true" t="shared" si="6" ref="H31:H33">_xlfn.IFERROR(E31*F31,"-")</f>
        <v>0</v>
      </c>
      <c r="I31" s="84">
        <f aca="true" t="shared" si="7" ref="I31:I33">_xlfn.IFERROR(E31*G31,"-")</f>
        <v>0</v>
      </c>
    </row>
    <row r="32" spans="1:9" ht="15" hidden="1">
      <c r="A32" s="60" t="s">
        <v>35</v>
      </c>
      <c r="B32" s="53"/>
      <c r="C32" s="70"/>
      <c r="D32" s="54"/>
      <c r="E32" s="59"/>
      <c r="F32" s="88"/>
      <c r="G32" s="84">
        <f t="shared" si="5"/>
        <v>0</v>
      </c>
      <c r="H32" s="84">
        <f t="shared" si="6"/>
        <v>0</v>
      </c>
      <c r="I32" s="84">
        <f t="shared" si="7"/>
        <v>0</v>
      </c>
    </row>
    <row r="33" spans="1:9" ht="15" hidden="1">
      <c r="A33" s="60" t="s">
        <v>48</v>
      </c>
      <c r="B33" s="53"/>
      <c r="C33" s="70"/>
      <c r="D33" s="54"/>
      <c r="E33" s="59"/>
      <c r="F33" s="88"/>
      <c r="G33" s="84">
        <f t="shared" si="5"/>
        <v>0</v>
      </c>
      <c r="H33" s="84">
        <f t="shared" si="6"/>
        <v>0</v>
      </c>
      <c r="I33" s="84">
        <f t="shared" si="7"/>
        <v>0</v>
      </c>
    </row>
    <row r="34" spans="1:9" ht="15" hidden="1">
      <c r="A34" s="60"/>
      <c r="B34" s="52"/>
      <c r="C34" s="50"/>
      <c r="D34" s="54"/>
      <c r="E34" s="59"/>
      <c r="F34" s="88"/>
      <c r="G34" s="84"/>
      <c r="H34" s="84"/>
      <c r="I34" s="84"/>
    </row>
    <row r="35" spans="1:10" s="40" customFormat="1" ht="15" hidden="1">
      <c r="A35" s="37" t="s">
        <v>11</v>
      </c>
      <c r="B35" s="37"/>
      <c r="C35" s="38"/>
      <c r="D35" s="42"/>
      <c r="E35" s="63"/>
      <c r="F35" s="86"/>
      <c r="G35" s="87"/>
      <c r="H35" s="87">
        <f>H36</f>
        <v>0</v>
      </c>
      <c r="I35" s="87">
        <f>I36</f>
        <v>0</v>
      </c>
      <c r="J35" s="43"/>
    </row>
    <row r="36" spans="1:10" ht="15" hidden="1">
      <c r="A36" s="60" t="s">
        <v>36</v>
      </c>
      <c r="B36" s="57"/>
      <c r="C36" s="56"/>
      <c r="D36" s="58"/>
      <c r="E36" s="59"/>
      <c r="F36" s="83"/>
      <c r="G36" s="84">
        <f>(_xlfn.IFERROR((F36*((1+$G$11))),"-"))</f>
        <v>0</v>
      </c>
      <c r="H36" s="84">
        <f>_xlfn.IFERROR(E36*F36,"-")</f>
        <v>0</v>
      </c>
      <c r="I36" s="84">
        <f>_xlfn.IFERROR(E36*G36,"-")</f>
        <v>0</v>
      </c>
      <c r="J36" s="27"/>
    </row>
    <row r="37" spans="1:10" s="40" customFormat="1" ht="15" hidden="1">
      <c r="A37" s="37" t="s">
        <v>12</v>
      </c>
      <c r="B37" s="37"/>
      <c r="C37" s="41"/>
      <c r="D37" s="42"/>
      <c r="E37" s="65"/>
      <c r="F37" s="86"/>
      <c r="G37" s="87"/>
      <c r="H37" s="87">
        <f>H38+H39</f>
        <v>0</v>
      </c>
      <c r="I37" s="87">
        <f>SUM(I38:I39)</f>
        <v>0</v>
      </c>
      <c r="J37" s="39"/>
    </row>
    <row r="38" spans="1:12" ht="15" hidden="1">
      <c r="A38" s="60" t="s">
        <v>37</v>
      </c>
      <c r="B38" s="52"/>
      <c r="C38" s="50"/>
      <c r="D38" s="52"/>
      <c r="E38" s="59"/>
      <c r="F38" s="88"/>
      <c r="G38" s="84">
        <f>(_xlfn.IFERROR((F38*((1+$G$11))),"-"))</f>
        <v>0</v>
      </c>
      <c r="H38" s="84">
        <f aca="true" t="shared" si="8" ref="H38">_xlfn.IFERROR(E38*F38,"-")</f>
        <v>0</v>
      </c>
      <c r="I38" s="84">
        <f aca="true" t="shared" si="9" ref="I38">_xlfn.IFERROR(E38*G38,"-")</f>
        <v>0</v>
      </c>
      <c r="L38" s="26"/>
    </row>
    <row r="39" spans="1:9" ht="15" hidden="1">
      <c r="A39" s="60"/>
      <c r="B39" s="22"/>
      <c r="C39" s="23"/>
      <c r="D39" s="18"/>
      <c r="E39" s="59"/>
      <c r="F39" s="85"/>
      <c r="G39" s="84"/>
      <c r="H39" s="84"/>
      <c r="I39" s="84"/>
    </row>
    <row r="40" spans="1:10" s="40" customFormat="1" ht="15" hidden="1">
      <c r="A40" s="37" t="s">
        <v>13</v>
      </c>
      <c r="B40" s="37"/>
      <c r="C40" s="41"/>
      <c r="D40" s="42"/>
      <c r="E40" s="63"/>
      <c r="F40" s="86"/>
      <c r="G40" s="87"/>
      <c r="H40" s="87">
        <f>SUM(H41:H46)</f>
        <v>0</v>
      </c>
      <c r="I40" s="87">
        <f>SUM(I41:I46)</f>
        <v>0</v>
      </c>
      <c r="J40" s="39"/>
    </row>
    <row r="41" spans="1:9" ht="15" hidden="1">
      <c r="A41" s="60" t="s">
        <v>34</v>
      </c>
      <c r="B41" s="52"/>
      <c r="C41" s="55"/>
      <c r="D41" s="54"/>
      <c r="E41" s="66"/>
      <c r="F41" s="88"/>
      <c r="G41" s="84">
        <f>(_xlfn.IFERROR((F41*((1+$G$11))),"-"))</f>
        <v>0</v>
      </c>
      <c r="H41" s="89">
        <f aca="true" t="shared" si="10" ref="H41:H43">_xlfn.IFERROR(E41*F41,"-")</f>
        <v>0</v>
      </c>
      <c r="I41" s="84">
        <f aca="true" t="shared" si="11" ref="I41:I43">_xlfn.IFERROR(E41*G41,"-")</f>
        <v>0</v>
      </c>
    </row>
    <row r="42" spans="1:9" ht="15" hidden="1">
      <c r="A42" s="60" t="s">
        <v>49</v>
      </c>
      <c r="B42" s="52"/>
      <c r="C42" s="70"/>
      <c r="D42" s="54"/>
      <c r="E42" s="59"/>
      <c r="F42" s="88"/>
      <c r="G42" s="84">
        <f>(_xlfn.IFERROR((F42*((1+$G$11))),"-"))</f>
        <v>0</v>
      </c>
      <c r="H42" s="84">
        <f t="shared" si="10"/>
        <v>0</v>
      </c>
      <c r="I42" s="84">
        <f t="shared" si="11"/>
        <v>0</v>
      </c>
    </row>
    <row r="43" spans="1:9" ht="15" hidden="1">
      <c r="A43" s="60" t="s">
        <v>50</v>
      </c>
      <c r="B43" s="52"/>
      <c r="C43" s="70"/>
      <c r="D43" s="52"/>
      <c r="E43" s="59"/>
      <c r="F43" s="88"/>
      <c r="G43" s="84">
        <f>(_xlfn.IFERROR((F43*((1+$G$11))),"-"))</f>
        <v>0</v>
      </c>
      <c r="H43" s="84">
        <f t="shared" si="10"/>
        <v>0</v>
      </c>
      <c r="I43" s="84">
        <f t="shared" si="11"/>
        <v>0</v>
      </c>
    </row>
    <row r="44" spans="1:9" ht="15" hidden="1">
      <c r="A44" s="60" t="s">
        <v>51</v>
      </c>
      <c r="B44" s="52"/>
      <c r="C44" s="70"/>
      <c r="D44" s="52"/>
      <c r="E44" s="59"/>
      <c r="F44" s="88"/>
      <c r="G44" s="84">
        <f>(_xlfn.IFERROR((F44*((1+$G$11))),"-"))</f>
        <v>0</v>
      </c>
      <c r="H44" s="84">
        <f aca="true" t="shared" si="12" ref="H44:H45">_xlfn.IFERROR(E44*F44,"-")</f>
        <v>0</v>
      </c>
      <c r="I44" s="84">
        <f aca="true" t="shared" si="13" ref="I44:I45">_xlfn.IFERROR(E44*G44,"-")</f>
        <v>0</v>
      </c>
    </row>
    <row r="45" spans="1:9" ht="15" hidden="1">
      <c r="A45" s="60" t="s">
        <v>52</v>
      </c>
      <c r="B45" s="52"/>
      <c r="C45" s="51"/>
      <c r="D45" s="52"/>
      <c r="E45" s="59"/>
      <c r="F45" s="88"/>
      <c r="G45" s="84">
        <f>(_xlfn.IFERROR((F45*((1+$G$11))),"-"))</f>
        <v>0</v>
      </c>
      <c r="H45" s="84">
        <f t="shared" si="12"/>
        <v>0</v>
      </c>
      <c r="I45" s="84">
        <f t="shared" si="13"/>
        <v>0</v>
      </c>
    </row>
    <row r="46" spans="1:10" s="26" customFormat="1" ht="15" hidden="1">
      <c r="A46" s="61"/>
      <c r="B46" s="31"/>
      <c r="C46" s="25"/>
      <c r="D46" s="31"/>
      <c r="E46" s="59"/>
      <c r="F46" s="85"/>
      <c r="G46" s="84"/>
      <c r="H46" s="84"/>
      <c r="I46" s="84"/>
      <c r="J46" s="19"/>
    </row>
    <row r="47" spans="1:10" s="45" customFormat="1" ht="15" hidden="1">
      <c r="A47" s="37" t="s">
        <v>14</v>
      </c>
      <c r="B47" s="44"/>
      <c r="C47" s="41"/>
      <c r="D47" s="42"/>
      <c r="E47" s="63"/>
      <c r="F47" s="86"/>
      <c r="G47" s="87"/>
      <c r="H47" s="87">
        <f>SUM(H48:H51)</f>
        <v>0</v>
      </c>
      <c r="I47" s="87">
        <f>SUM(I48:I51)</f>
        <v>0</v>
      </c>
      <c r="J47" s="39"/>
    </row>
    <row r="48" spans="1:9" ht="15" hidden="1">
      <c r="A48" s="60" t="s">
        <v>38</v>
      </c>
      <c r="B48" s="52"/>
      <c r="C48" s="50"/>
      <c r="D48" s="52"/>
      <c r="E48" s="66"/>
      <c r="F48" s="88"/>
      <c r="G48" s="84">
        <f>(_xlfn.IFERROR((F48*((1+$G$11))),"-"))</f>
        <v>0</v>
      </c>
      <c r="H48" s="84">
        <f aca="true" t="shared" si="14" ref="H48:H50">_xlfn.IFERROR(E48*F48,"-")</f>
        <v>0</v>
      </c>
      <c r="I48" s="84">
        <f aca="true" t="shared" si="15" ref="I48:I50">_xlfn.IFERROR(E48*G48,"-")</f>
        <v>0</v>
      </c>
    </row>
    <row r="49" spans="1:9" ht="15" hidden="1">
      <c r="A49" s="60" t="s">
        <v>39</v>
      </c>
      <c r="B49" s="52"/>
      <c r="C49" s="50"/>
      <c r="D49" s="52"/>
      <c r="E49" s="66"/>
      <c r="F49" s="88"/>
      <c r="G49" s="84">
        <f>(_xlfn.IFERROR((F49*((1+$G$11))),"-"))</f>
        <v>0</v>
      </c>
      <c r="H49" s="84">
        <f t="shared" si="14"/>
        <v>0</v>
      </c>
      <c r="I49" s="84">
        <f t="shared" si="15"/>
        <v>0</v>
      </c>
    </row>
    <row r="50" spans="1:9" ht="15" hidden="1">
      <c r="A50" s="60" t="s">
        <v>53</v>
      </c>
      <c r="B50" s="52"/>
      <c r="C50" s="50"/>
      <c r="D50" s="52"/>
      <c r="E50" s="64"/>
      <c r="F50" s="88"/>
      <c r="G50" s="84">
        <f>(_xlfn.IFERROR((F50*((1+$G$11))),"-"))</f>
        <v>0</v>
      </c>
      <c r="H50" s="84">
        <f t="shared" si="14"/>
        <v>0</v>
      </c>
      <c r="I50" s="84">
        <f t="shared" si="15"/>
        <v>0</v>
      </c>
    </row>
    <row r="51" spans="1:9" ht="15" hidden="1">
      <c r="A51" s="21"/>
      <c r="B51" s="29"/>
      <c r="C51" s="28"/>
      <c r="D51" s="30"/>
      <c r="E51" s="59"/>
      <c r="F51" s="85"/>
      <c r="G51" s="84"/>
      <c r="H51" s="84"/>
      <c r="I51" s="84"/>
    </row>
    <row r="52" spans="1:10" s="40" customFormat="1" ht="15" hidden="1">
      <c r="A52" s="37" t="s">
        <v>15</v>
      </c>
      <c r="B52" s="37"/>
      <c r="C52" s="41"/>
      <c r="D52" s="42"/>
      <c r="E52" s="63"/>
      <c r="F52" s="86"/>
      <c r="G52" s="87"/>
      <c r="H52" s="87">
        <f>SUM(H53:H56)</f>
        <v>0</v>
      </c>
      <c r="I52" s="87">
        <f>SUM(I53:I56)</f>
        <v>0</v>
      </c>
      <c r="J52" s="39"/>
    </row>
    <row r="53" spans="1:9" ht="15" hidden="1">
      <c r="A53" s="60" t="s">
        <v>40</v>
      </c>
      <c r="B53" s="52"/>
      <c r="C53" s="50"/>
      <c r="D53" s="52"/>
      <c r="E53" s="64"/>
      <c r="F53" s="88"/>
      <c r="G53" s="84">
        <f>(_xlfn.IFERROR((F53*((1+$G$11))),"-"))</f>
        <v>0</v>
      </c>
      <c r="H53" s="84">
        <f>_xlfn.IFERROR(E53*F53,"-")</f>
        <v>0</v>
      </c>
      <c r="I53" s="84">
        <f>_xlfn.IFERROR(E53*G53,"-")</f>
        <v>0</v>
      </c>
    </row>
    <row r="54" spans="1:9" ht="15" hidden="1">
      <c r="A54" s="60" t="s">
        <v>41</v>
      </c>
      <c r="B54" s="52"/>
      <c r="C54" s="50"/>
      <c r="D54" s="52"/>
      <c r="E54" s="64"/>
      <c r="F54" s="88"/>
      <c r="G54" s="84">
        <f aca="true" t="shared" si="16" ref="G54:G55">(_xlfn.IFERROR((F54*((1+$G$11))),"-"))</f>
        <v>0</v>
      </c>
      <c r="H54" s="84">
        <f aca="true" t="shared" si="17" ref="H54:H55">_xlfn.IFERROR(E54*F54,"-")</f>
        <v>0</v>
      </c>
      <c r="I54" s="84">
        <f aca="true" t="shared" si="18" ref="I54:I55">_xlfn.IFERROR(E54*G54,"-")</f>
        <v>0</v>
      </c>
    </row>
    <row r="55" spans="1:9" ht="15" hidden="1">
      <c r="A55" s="60" t="s">
        <v>42</v>
      </c>
      <c r="B55" s="52"/>
      <c r="C55" s="50"/>
      <c r="D55" s="52"/>
      <c r="E55" s="64"/>
      <c r="F55" s="88"/>
      <c r="G55" s="84">
        <f t="shared" si="16"/>
        <v>0</v>
      </c>
      <c r="H55" s="84">
        <f t="shared" si="17"/>
        <v>0</v>
      </c>
      <c r="I55" s="84">
        <f t="shared" si="18"/>
        <v>0</v>
      </c>
    </row>
    <row r="56" spans="1:9" ht="15" hidden="1">
      <c r="A56" s="21"/>
      <c r="B56" s="22"/>
      <c r="C56" s="23"/>
      <c r="D56" s="18"/>
      <c r="E56" s="24"/>
      <c r="F56" s="92"/>
      <c r="G56" s="93"/>
      <c r="H56" s="93"/>
      <c r="I56" s="93"/>
    </row>
    <row r="57" spans="1:11" s="33" customFormat="1" ht="15" customHeight="1">
      <c r="A57" s="320" t="s">
        <v>96</v>
      </c>
      <c r="B57" s="321"/>
      <c r="C57" s="321"/>
      <c r="D57" s="321"/>
      <c r="E57" s="321"/>
      <c r="F57" s="321"/>
      <c r="G57" s="322"/>
      <c r="H57" s="212">
        <f>H15+H17+H22</f>
        <v>603037.9</v>
      </c>
      <c r="I57" s="212"/>
      <c r="J57" s="32"/>
      <c r="K57" s="33">
        <v>1750000</v>
      </c>
    </row>
    <row r="58" spans="1:11" s="33" customFormat="1" ht="15">
      <c r="A58" s="320" t="s">
        <v>97</v>
      </c>
      <c r="B58" s="321"/>
      <c r="C58" s="321"/>
      <c r="D58" s="321"/>
      <c r="E58" s="321"/>
      <c r="F58" s="321"/>
      <c r="G58" s="322"/>
      <c r="H58" s="212">
        <f>H14+H17+H22</f>
        <v>603037.9</v>
      </c>
      <c r="I58" s="212">
        <f>I14+I17+I22</f>
        <v>762793.71</v>
      </c>
      <c r="J58" s="32"/>
      <c r="K58" s="33">
        <f>K57-I58</f>
        <v>987206.29</v>
      </c>
    </row>
    <row r="59" spans="1:10" s="33" customFormat="1" ht="15">
      <c r="A59" s="34"/>
      <c r="B59" s="20"/>
      <c r="C59" s="20"/>
      <c r="D59" s="20"/>
      <c r="E59" s="20"/>
      <c r="F59" s="20"/>
      <c r="G59" s="20"/>
      <c r="H59" s="20"/>
      <c r="J59" s="32"/>
    </row>
    <row r="60" spans="1:10" s="33" customFormat="1" ht="15">
      <c r="A60" s="34"/>
      <c r="B60" s="20"/>
      <c r="C60" s="20"/>
      <c r="D60" s="20"/>
      <c r="E60" s="20"/>
      <c r="F60" s="20"/>
      <c r="G60" s="20"/>
      <c r="H60" s="20"/>
      <c r="J60" s="32"/>
    </row>
    <row r="61" spans="1:10" s="33" customFormat="1" ht="15">
      <c r="A61" s="34"/>
      <c r="B61" s="20"/>
      <c r="C61" s="20"/>
      <c r="D61" s="20"/>
      <c r="E61" s="20"/>
      <c r="F61" s="20"/>
      <c r="G61" s="20"/>
      <c r="H61" s="20"/>
      <c r="J61" s="32"/>
    </row>
    <row r="62" spans="1:10" s="33" customFormat="1" ht="15">
      <c r="A62" s="34"/>
      <c r="B62" s="20"/>
      <c r="C62" s="20"/>
      <c r="D62" s="20"/>
      <c r="E62" s="20"/>
      <c r="F62" s="20"/>
      <c r="G62" s="20"/>
      <c r="H62" s="20"/>
      <c r="J62" s="32"/>
    </row>
    <row r="63" spans="1:10" s="33" customFormat="1" ht="15">
      <c r="A63" s="34"/>
      <c r="B63" s="20"/>
      <c r="C63" s="20"/>
      <c r="D63" s="20"/>
      <c r="E63" s="20"/>
      <c r="F63" s="20"/>
      <c r="G63" s="20"/>
      <c r="H63" s="20"/>
      <c r="J63" s="32"/>
    </row>
    <row r="64" spans="1:10" s="33" customFormat="1" ht="15">
      <c r="A64" s="34"/>
      <c r="B64" s="20"/>
      <c r="C64" s="20"/>
      <c r="D64" s="20"/>
      <c r="E64" s="20"/>
      <c r="F64" s="20"/>
      <c r="G64" s="20"/>
      <c r="H64" s="20"/>
      <c r="J64" s="32"/>
    </row>
    <row r="65" spans="1:10" s="33" customFormat="1" ht="15">
      <c r="A65" s="34"/>
      <c r="B65" s="20"/>
      <c r="C65" s="20"/>
      <c r="D65" s="20"/>
      <c r="E65" s="20"/>
      <c r="F65" s="20"/>
      <c r="G65" s="20"/>
      <c r="H65" s="20"/>
      <c r="J65" s="32"/>
    </row>
    <row r="66" spans="1:10" s="33" customFormat="1" ht="15">
      <c r="A66" s="34"/>
      <c r="B66" s="20"/>
      <c r="C66" s="20"/>
      <c r="D66" s="20"/>
      <c r="E66" s="20"/>
      <c r="F66" s="20"/>
      <c r="G66" s="20"/>
      <c r="H66" s="20"/>
      <c r="J66" s="32"/>
    </row>
    <row r="67" spans="1:10" s="33" customFormat="1" ht="15">
      <c r="A67" s="34"/>
      <c r="B67" s="20"/>
      <c r="C67" s="20"/>
      <c r="D67" s="20"/>
      <c r="E67" s="20"/>
      <c r="F67" s="20"/>
      <c r="G67" s="20"/>
      <c r="H67" s="20"/>
      <c r="J67" s="32"/>
    </row>
    <row r="68" spans="1:10" s="33" customFormat="1" ht="15">
      <c r="A68" s="34"/>
      <c r="B68" s="20"/>
      <c r="C68" s="20"/>
      <c r="D68" s="20"/>
      <c r="E68" s="20"/>
      <c r="F68" s="20"/>
      <c r="G68" s="20"/>
      <c r="H68" s="20"/>
      <c r="J68" s="32"/>
    </row>
    <row r="69" spans="1:10" s="33" customFormat="1" ht="15">
      <c r="A69" s="34"/>
      <c r="B69" s="20"/>
      <c r="C69" s="20"/>
      <c r="D69" s="20"/>
      <c r="E69" s="20"/>
      <c r="F69" s="20"/>
      <c r="G69" s="20"/>
      <c r="H69" s="20"/>
      <c r="J69" s="32"/>
    </row>
    <row r="70" spans="1:10" s="33" customFormat="1" ht="15">
      <c r="A70" s="34"/>
      <c r="B70" s="20"/>
      <c r="C70" s="20"/>
      <c r="D70" s="20"/>
      <c r="E70" s="20"/>
      <c r="F70" s="20"/>
      <c r="G70" s="190"/>
      <c r="H70" s="20"/>
      <c r="J70" s="32"/>
    </row>
    <row r="71" spans="1:10" s="33" customFormat="1" ht="15">
      <c r="A71" s="34"/>
      <c r="B71" s="20"/>
      <c r="C71" s="20"/>
      <c r="D71" s="20"/>
      <c r="E71" s="20"/>
      <c r="F71" s="20"/>
      <c r="G71" s="190"/>
      <c r="H71" s="20"/>
      <c r="J71" s="32"/>
    </row>
    <row r="72" spans="1:10" s="33" customFormat="1" ht="15">
      <c r="A72" s="34"/>
      <c r="B72" s="20"/>
      <c r="C72" s="20"/>
      <c r="D72" s="20"/>
      <c r="E72" s="20"/>
      <c r="F72" s="20"/>
      <c r="G72" s="20"/>
      <c r="H72" s="20"/>
      <c r="J72" s="32"/>
    </row>
    <row r="73" spans="1:10" s="33" customFormat="1" ht="15">
      <c r="A73" s="34"/>
      <c r="B73" s="20"/>
      <c r="C73" s="20"/>
      <c r="D73" s="20"/>
      <c r="E73" s="20"/>
      <c r="F73" s="20"/>
      <c r="G73" s="20"/>
      <c r="H73" s="20"/>
      <c r="J73" s="32"/>
    </row>
    <row r="74" spans="1:10" s="33" customFormat="1" ht="15">
      <c r="A74" s="34"/>
      <c r="B74" s="20"/>
      <c r="C74" s="20"/>
      <c r="D74" s="20"/>
      <c r="E74" s="20"/>
      <c r="F74" s="20"/>
      <c r="G74" s="20"/>
      <c r="H74" s="20"/>
      <c r="J74" s="32"/>
    </row>
    <row r="75" spans="1:10" s="33" customFormat="1" ht="15">
      <c r="A75" s="34"/>
      <c r="B75" s="20"/>
      <c r="C75" s="20"/>
      <c r="D75" s="20"/>
      <c r="E75" s="20"/>
      <c r="F75" s="20"/>
      <c r="G75" s="20"/>
      <c r="H75" s="20"/>
      <c r="J75" s="32"/>
    </row>
    <row r="76" spans="1:10" s="33" customFormat="1" ht="15">
      <c r="A76" s="34"/>
      <c r="B76" s="20"/>
      <c r="C76" s="20"/>
      <c r="D76" s="20"/>
      <c r="E76" s="20"/>
      <c r="F76" s="20"/>
      <c r="G76" s="20"/>
      <c r="H76" s="20"/>
      <c r="J76" s="32"/>
    </row>
    <row r="77" spans="1:10" s="33" customFormat="1" ht="15">
      <c r="A77" s="34"/>
      <c r="B77" s="20"/>
      <c r="C77" s="20"/>
      <c r="D77" s="20"/>
      <c r="E77" s="20"/>
      <c r="F77" s="20"/>
      <c r="G77" s="20"/>
      <c r="H77" s="20"/>
      <c r="J77" s="32"/>
    </row>
    <row r="78" spans="1:10" s="33" customFormat="1" ht="15">
      <c r="A78" s="34"/>
      <c r="B78" s="20"/>
      <c r="C78" s="20"/>
      <c r="D78" s="20"/>
      <c r="E78" s="20"/>
      <c r="F78" s="20"/>
      <c r="G78" s="20"/>
      <c r="H78" s="20"/>
      <c r="J78" s="32"/>
    </row>
    <row r="79" spans="1:10" s="33" customFormat="1" ht="15">
      <c r="A79" s="34"/>
      <c r="B79" s="20"/>
      <c r="C79" s="20"/>
      <c r="D79" s="20"/>
      <c r="E79" s="20"/>
      <c r="F79" s="20"/>
      <c r="G79" s="20"/>
      <c r="H79" s="20"/>
      <c r="J79" s="32"/>
    </row>
    <row r="80" spans="1:10" s="33" customFormat="1" ht="15">
      <c r="A80" s="34"/>
      <c r="B80" s="20"/>
      <c r="C80" s="20"/>
      <c r="D80" s="20"/>
      <c r="E80" s="20"/>
      <c r="F80" s="20"/>
      <c r="G80" s="20"/>
      <c r="H80" s="20"/>
      <c r="J80" s="32"/>
    </row>
    <row r="81" spans="1:10" s="33" customFormat="1" ht="15">
      <c r="A81" s="34"/>
      <c r="B81" s="20"/>
      <c r="C81" s="20"/>
      <c r="D81" s="20"/>
      <c r="E81" s="20"/>
      <c r="F81" s="20"/>
      <c r="G81" s="20"/>
      <c r="H81" s="20"/>
      <c r="J81" s="32"/>
    </row>
    <row r="82" spans="1:10" s="33" customFormat="1" ht="15">
      <c r="A82" s="34"/>
      <c r="B82" s="20"/>
      <c r="C82" s="20"/>
      <c r="D82" s="20"/>
      <c r="E82" s="20"/>
      <c r="F82" s="20"/>
      <c r="G82" s="20"/>
      <c r="H82" s="20"/>
      <c r="J82" s="32"/>
    </row>
    <row r="83" spans="1:10" s="33" customFormat="1" ht="15">
      <c r="A83" s="34"/>
      <c r="B83" s="20"/>
      <c r="C83" s="20"/>
      <c r="D83" s="20"/>
      <c r="E83" s="20"/>
      <c r="F83" s="20"/>
      <c r="G83" s="20"/>
      <c r="H83" s="20"/>
      <c r="J83" s="32"/>
    </row>
    <row r="84" spans="1:10" s="33" customFormat="1" ht="15">
      <c r="A84" s="34"/>
      <c r="B84" s="20"/>
      <c r="C84" s="20"/>
      <c r="D84" s="20"/>
      <c r="E84" s="20"/>
      <c r="F84" s="20"/>
      <c r="G84" s="20"/>
      <c r="H84" s="20"/>
      <c r="J84" s="32"/>
    </row>
    <row r="85" spans="1:10" s="33" customFormat="1" ht="15">
      <c r="A85" s="34"/>
      <c r="B85" s="20"/>
      <c r="C85" s="20"/>
      <c r="D85" s="20"/>
      <c r="E85" s="20"/>
      <c r="F85" s="20"/>
      <c r="G85" s="20"/>
      <c r="H85" s="20"/>
      <c r="J85" s="32"/>
    </row>
    <row r="86" spans="1:10" s="33" customFormat="1" ht="15">
      <c r="A86" s="34"/>
      <c r="B86" s="20"/>
      <c r="C86" s="20"/>
      <c r="D86" s="20"/>
      <c r="E86" s="20"/>
      <c r="F86" s="20"/>
      <c r="G86" s="20"/>
      <c r="H86" s="20"/>
      <c r="J86" s="32"/>
    </row>
    <row r="87" spans="1:10" s="33" customFormat="1" ht="15">
      <c r="A87" s="34"/>
      <c r="B87" s="20"/>
      <c r="C87" s="20"/>
      <c r="D87" s="20"/>
      <c r="E87" s="20"/>
      <c r="F87" s="20"/>
      <c r="G87" s="20"/>
      <c r="H87" s="20"/>
      <c r="J87" s="32"/>
    </row>
    <row r="88" spans="1:10" s="33" customFormat="1" ht="15">
      <c r="A88" s="34"/>
      <c r="B88" s="20"/>
      <c r="C88" s="20"/>
      <c r="D88" s="20"/>
      <c r="E88" s="20"/>
      <c r="F88" s="20"/>
      <c r="G88" s="20"/>
      <c r="H88" s="20"/>
      <c r="J88" s="32"/>
    </row>
    <row r="89" spans="1:10" s="33" customFormat="1" ht="15">
      <c r="A89" s="34"/>
      <c r="B89" s="20"/>
      <c r="C89" s="20"/>
      <c r="D89" s="20"/>
      <c r="E89" s="20"/>
      <c r="F89" s="20"/>
      <c r="G89" s="20"/>
      <c r="H89" s="20"/>
      <c r="J89" s="32"/>
    </row>
    <row r="90" spans="1:10" s="33" customFormat="1" ht="15">
      <c r="A90" s="34"/>
      <c r="B90" s="20"/>
      <c r="C90" s="20"/>
      <c r="D90" s="20"/>
      <c r="E90" s="20"/>
      <c r="F90" s="20"/>
      <c r="G90" s="20"/>
      <c r="H90" s="20"/>
      <c r="J90" s="32"/>
    </row>
    <row r="91" spans="1:10" s="33" customFormat="1" ht="15">
      <c r="A91" s="34"/>
      <c r="B91" s="20"/>
      <c r="C91" s="20"/>
      <c r="D91" s="20"/>
      <c r="E91" s="20"/>
      <c r="F91" s="20"/>
      <c r="G91" s="20"/>
      <c r="H91" s="20"/>
      <c r="J91" s="32"/>
    </row>
    <row r="92" spans="1:10" s="33" customFormat="1" ht="15">
      <c r="A92" s="34"/>
      <c r="B92" s="20"/>
      <c r="C92" s="20"/>
      <c r="D92" s="20"/>
      <c r="E92" s="20"/>
      <c r="F92" s="20"/>
      <c r="G92" s="20"/>
      <c r="H92" s="20"/>
      <c r="J92" s="32"/>
    </row>
    <row r="93" spans="1:10" s="33" customFormat="1" ht="15">
      <c r="A93" s="34"/>
      <c r="B93" s="20"/>
      <c r="C93" s="20"/>
      <c r="D93" s="20"/>
      <c r="E93" s="20"/>
      <c r="F93" s="20"/>
      <c r="G93" s="20"/>
      <c r="H93" s="20"/>
      <c r="J93" s="32"/>
    </row>
    <row r="94" spans="1:10" s="33" customFormat="1" ht="15">
      <c r="A94" s="34"/>
      <c r="B94" s="20"/>
      <c r="C94" s="20"/>
      <c r="D94" s="20"/>
      <c r="E94" s="20"/>
      <c r="F94" s="20"/>
      <c r="G94" s="20"/>
      <c r="H94" s="20"/>
      <c r="J94" s="32"/>
    </row>
    <row r="95" spans="1:10" s="33" customFormat="1" ht="15">
      <c r="A95" s="34"/>
      <c r="B95" s="20"/>
      <c r="C95" s="20"/>
      <c r="D95" s="20"/>
      <c r="E95" s="20"/>
      <c r="F95" s="20"/>
      <c r="G95" s="20"/>
      <c r="H95" s="20"/>
      <c r="J95" s="32"/>
    </row>
    <row r="96" spans="1:10" s="33" customFormat="1" ht="15">
      <c r="A96" s="34"/>
      <c r="B96" s="20"/>
      <c r="C96" s="20"/>
      <c r="D96" s="20"/>
      <c r="E96" s="20"/>
      <c r="F96" s="20"/>
      <c r="G96" s="20"/>
      <c r="H96" s="20"/>
      <c r="J96" s="32"/>
    </row>
    <row r="97" spans="1:10" s="33" customFormat="1" ht="15">
      <c r="A97" s="34"/>
      <c r="B97" s="20"/>
      <c r="C97" s="20"/>
      <c r="D97" s="20"/>
      <c r="E97" s="20"/>
      <c r="F97" s="20"/>
      <c r="G97" s="20"/>
      <c r="H97" s="20"/>
      <c r="J97" s="32"/>
    </row>
    <row r="98" spans="1:10" s="33" customFormat="1" ht="15">
      <c r="A98" s="34"/>
      <c r="B98" s="20"/>
      <c r="C98" s="20"/>
      <c r="D98" s="20"/>
      <c r="E98" s="20"/>
      <c r="F98" s="20"/>
      <c r="G98" s="20"/>
      <c r="H98" s="20"/>
      <c r="J98" s="32"/>
    </row>
    <row r="99" spans="1:10" s="33" customFormat="1" ht="15">
      <c r="A99" s="34"/>
      <c r="B99" s="20"/>
      <c r="C99" s="20"/>
      <c r="D99" s="20"/>
      <c r="E99" s="20"/>
      <c r="F99" s="20"/>
      <c r="G99" s="20"/>
      <c r="H99" s="20"/>
      <c r="J99" s="32"/>
    </row>
    <row r="100" spans="1:10" s="33" customFormat="1" ht="15">
      <c r="A100" s="34"/>
      <c r="B100" s="20"/>
      <c r="C100" s="20"/>
      <c r="D100" s="20"/>
      <c r="E100" s="20"/>
      <c r="F100" s="20"/>
      <c r="G100" s="20"/>
      <c r="H100" s="20"/>
      <c r="J100" s="32"/>
    </row>
    <row r="101" spans="1:10" s="33" customFormat="1" ht="15">
      <c r="A101" s="34"/>
      <c r="B101" s="20"/>
      <c r="C101" s="20"/>
      <c r="D101" s="20"/>
      <c r="E101" s="20"/>
      <c r="F101" s="20"/>
      <c r="G101" s="20"/>
      <c r="H101" s="20"/>
      <c r="J101" s="32"/>
    </row>
    <row r="102" spans="1:10" s="33" customFormat="1" ht="15">
      <c r="A102" s="34"/>
      <c r="B102" s="20"/>
      <c r="C102" s="20"/>
      <c r="D102" s="20"/>
      <c r="E102" s="20"/>
      <c r="F102" s="20"/>
      <c r="G102" s="20"/>
      <c r="H102" s="20"/>
      <c r="J102" s="32"/>
    </row>
    <row r="103" spans="1:10" s="33" customFormat="1" ht="15">
      <c r="A103" s="34"/>
      <c r="B103" s="20"/>
      <c r="C103" s="20"/>
      <c r="D103" s="20"/>
      <c r="E103" s="20"/>
      <c r="F103" s="20"/>
      <c r="G103" s="20"/>
      <c r="H103" s="20"/>
      <c r="J103" s="32"/>
    </row>
    <row r="104" spans="1:10" s="33" customFormat="1" ht="15">
      <c r="A104" s="34"/>
      <c r="B104" s="20"/>
      <c r="C104" s="20"/>
      <c r="D104" s="20"/>
      <c r="E104" s="20"/>
      <c r="F104" s="20"/>
      <c r="G104" s="20"/>
      <c r="H104" s="20"/>
      <c r="J104" s="32"/>
    </row>
    <row r="105" spans="1:10" s="33" customFormat="1" ht="15">
      <c r="A105" s="34"/>
      <c r="B105" s="20"/>
      <c r="C105" s="20"/>
      <c r="D105" s="20"/>
      <c r="E105" s="20"/>
      <c r="F105" s="20"/>
      <c r="G105" s="20"/>
      <c r="H105" s="20"/>
      <c r="J105" s="32"/>
    </row>
    <row r="106" spans="1:10" s="33" customFormat="1" ht="15">
      <c r="A106" s="34"/>
      <c r="B106" s="20"/>
      <c r="C106" s="20"/>
      <c r="D106" s="20"/>
      <c r="E106" s="20"/>
      <c r="F106" s="20"/>
      <c r="G106" s="20"/>
      <c r="H106" s="20"/>
      <c r="J106" s="32"/>
    </row>
    <row r="107" spans="1:10" s="33" customFormat="1" ht="15">
      <c r="A107" s="34"/>
      <c r="B107" s="20"/>
      <c r="C107" s="20"/>
      <c r="D107" s="20"/>
      <c r="E107" s="20"/>
      <c r="F107" s="20"/>
      <c r="G107" s="20"/>
      <c r="H107" s="20"/>
      <c r="J107" s="32"/>
    </row>
    <row r="108" spans="1:10" s="33" customFormat="1" ht="15">
      <c r="A108" s="34"/>
      <c r="B108" s="20"/>
      <c r="C108" s="20"/>
      <c r="D108" s="20"/>
      <c r="E108" s="20"/>
      <c r="F108" s="20"/>
      <c r="G108" s="20"/>
      <c r="H108" s="20"/>
      <c r="J108" s="32"/>
    </row>
    <row r="109" spans="1:10" s="33" customFormat="1" ht="15">
      <c r="A109" s="34"/>
      <c r="B109" s="20"/>
      <c r="C109" s="20"/>
      <c r="D109" s="20"/>
      <c r="E109" s="20"/>
      <c r="F109" s="20"/>
      <c r="G109" s="20"/>
      <c r="H109" s="20"/>
      <c r="J109" s="32"/>
    </row>
    <row r="110" spans="1:10" s="33" customFormat="1" ht="15">
      <c r="A110" s="34"/>
      <c r="B110" s="20"/>
      <c r="C110" s="20"/>
      <c r="D110" s="20"/>
      <c r="E110" s="20"/>
      <c r="F110" s="20"/>
      <c r="G110" s="20"/>
      <c r="H110" s="20"/>
      <c r="J110" s="32"/>
    </row>
    <row r="111" spans="1:10" s="33" customFormat="1" ht="15">
      <c r="A111" s="34"/>
      <c r="B111" s="20"/>
      <c r="C111" s="20"/>
      <c r="D111" s="20"/>
      <c r="E111" s="20"/>
      <c r="F111" s="20"/>
      <c r="G111" s="20"/>
      <c r="H111" s="20"/>
      <c r="J111" s="32"/>
    </row>
    <row r="112" spans="1:10" s="33" customFormat="1" ht="15">
      <c r="A112" s="34"/>
      <c r="B112" s="20"/>
      <c r="C112" s="20"/>
      <c r="D112" s="20"/>
      <c r="E112" s="20"/>
      <c r="F112" s="20"/>
      <c r="G112" s="20"/>
      <c r="H112" s="20"/>
      <c r="J112" s="32"/>
    </row>
    <row r="113" spans="1:10" s="33" customFormat="1" ht="15">
      <c r="A113" s="34"/>
      <c r="B113" s="20"/>
      <c r="C113" s="20"/>
      <c r="D113" s="20"/>
      <c r="E113" s="20"/>
      <c r="F113" s="20"/>
      <c r="G113" s="20"/>
      <c r="H113" s="20"/>
      <c r="J113" s="32"/>
    </row>
    <row r="114" spans="1:10" s="33" customFormat="1" ht="15">
      <c r="A114" s="34"/>
      <c r="B114" s="20"/>
      <c r="C114" s="20"/>
      <c r="D114" s="20"/>
      <c r="E114" s="20"/>
      <c r="F114" s="20"/>
      <c r="G114" s="20"/>
      <c r="H114" s="20"/>
      <c r="J114" s="32"/>
    </row>
    <row r="115" spans="1:10" s="33" customFormat="1" ht="15">
      <c r="A115" s="34"/>
      <c r="B115" s="20"/>
      <c r="C115" s="20"/>
      <c r="D115" s="20"/>
      <c r="E115" s="20"/>
      <c r="F115" s="20"/>
      <c r="G115" s="20"/>
      <c r="H115" s="20"/>
      <c r="J115" s="32"/>
    </row>
    <row r="116" spans="1:10" s="33" customFormat="1" ht="15">
      <c r="A116" s="34"/>
      <c r="B116" s="20"/>
      <c r="C116" s="20"/>
      <c r="D116" s="20"/>
      <c r="E116" s="20"/>
      <c r="F116" s="20"/>
      <c r="G116" s="20"/>
      <c r="H116" s="20"/>
      <c r="J116" s="32"/>
    </row>
    <row r="117" spans="1:10" s="33" customFormat="1" ht="15">
      <c r="A117" s="34"/>
      <c r="B117" s="20"/>
      <c r="C117" s="20"/>
      <c r="D117" s="20"/>
      <c r="E117" s="20"/>
      <c r="F117" s="20"/>
      <c r="G117" s="20"/>
      <c r="H117" s="20"/>
      <c r="J117" s="32"/>
    </row>
    <row r="118" spans="1:10" s="33" customFormat="1" ht="15">
      <c r="A118" s="34"/>
      <c r="B118" s="20"/>
      <c r="C118" s="20"/>
      <c r="D118" s="20"/>
      <c r="E118" s="20"/>
      <c r="F118" s="20"/>
      <c r="G118" s="20"/>
      <c r="H118" s="20"/>
      <c r="J118" s="32"/>
    </row>
    <row r="119" spans="1:10" s="33" customFormat="1" ht="15">
      <c r="A119" s="34"/>
      <c r="B119" s="20"/>
      <c r="C119" s="20"/>
      <c r="D119" s="20"/>
      <c r="E119" s="20"/>
      <c r="F119" s="20"/>
      <c r="G119" s="20"/>
      <c r="H119" s="20"/>
      <c r="J119" s="32"/>
    </row>
    <row r="120" spans="1:10" s="33" customFormat="1" ht="15">
      <c r="A120" s="34"/>
      <c r="B120" s="20"/>
      <c r="C120" s="20"/>
      <c r="D120" s="20"/>
      <c r="E120" s="20"/>
      <c r="F120" s="20"/>
      <c r="G120" s="20"/>
      <c r="H120" s="20"/>
      <c r="J120" s="32"/>
    </row>
    <row r="121" spans="1:10" s="33" customFormat="1" ht="15">
      <c r="A121" s="34"/>
      <c r="B121" s="20"/>
      <c r="C121" s="20"/>
      <c r="D121" s="20"/>
      <c r="E121" s="20"/>
      <c r="F121" s="20"/>
      <c r="G121" s="20"/>
      <c r="H121" s="20"/>
      <c r="J121" s="32"/>
    </row>
    <row r="122" spans="1:10" s="33" customFormat="1" ht="15">
      <c r="A122" s="34"/>
      <c r="B122" s="20"/>
      <c r="C122" s="20"/>
      <c r="D122" s="20"/>
      <c r="E122" s="20"/>
      <c r="F122" s="20"/>
      <c r="G122" s="20"/>
      <c r="H122" s="20"/>
      <c r="J122" s="32"/>
    </row>
    <row r="123" spans="1:10" s="33" customFormat="1" ht="15">
      <c r="A123" s="34"/>
      <c r="B123" s="20"/>
      <c r="C123" s="20"/>
      <c r="D123" s="20"/>
      <c r="E123" s="20"/>
      <c r="F123" s="20"/>
      <c r="G123" s="20"/>
      <c r="H123" s="20"/>
      <c r="J123" s="32"/>
    </row>
    <row r="124" spans="1:10" s="33" customFormat="1" ht="15">
      <c r="A124" s="34"/>
      <c r="B124" s="20"/>
      <c r="C124" s="20"/>
      <c r="D124" s="20"/>
      <c r="E124" s="20"/>
      <c r="F124" s="20"/>
      <c r="G124" s="20"/>
      <c r="H124" s="20"/>
      <c r="J124" s="32"/>
    </row>
    <row r="125" spans="1:10" s="33" customFormat="1" ht="15">
      <c r="A125" s="34"/>
      <c r="B125" s="20"/>
      <c r="C125" s="20"/>
      <c r="D125" s="20"/>
      <c r="E125" s="20"/>
      <c r="F125" s="20"/>
      <c r="G125" s="20"/>
      <c r="H125" s="20"/>
      <c r="J125" s="32"/>
    </row>
    <row r="126" spans="1:10" s="33" customFormat="1" ht="15">
      <c r="A126" s="34"/>
      <c r="B126" s="20"/>
      <c r="C126" s="20"/>
      <c r="D126" s="20"/>
      <c r="E126" s="20"/>
      <c r="F126" s="20"/>
      <c r="G126" s="20"/>
      <c r="H126" s="20"/>
      <c r="J126" s="32"/>
    </row>
    <row r="127" spans="1:10" s="33" customFormat="1" ht="15">
      <c r="A127" s="34"/>
      <c r="B127" s="20"/>
      <c r="C127" s="20"/>
      <c r="D127" s="20"/>
      <c r="E127" s="20"/>
      <c r="F127" s="20"/>
      <c r="G127" s="20"/>
      <c r="H127" s="20"/>
      <c r="J127" s="32"/>
    </row>
    <row r="128" spans="1:10" s="33" customFormat="1" ht="15">
      <c r="A128" s="34"/>
      <c r="B128" s="20"/>
      <c r="C128" s="20"/>
      <c r="D128" s="20"/>
      <c r="E128" s="20"/>
      <c r="F128" s="20"/>
      <c r="G128" s="20"/>
      <c r="H128" s="20"/>
      <c r="J128" s="32"/>
    </row>
    <row r="129" spans="1:10" s="33" customFormat="1" ht="15">
      <c r="A129" s="34"/>
      <c r="B129" s="20"/>
      <c r="C129" s="20"/>
      <c r="D129" s="20"/>
      <c r="E129" s="20"/>
      <c r="F129" s="20"/>
      <c r="G129" s="20"/>
      <c r="H129" s="20"/>
      <c r="J129" s="32"/>
    </row>
    <row r="130" spans="1:10" s="33" customFormat="1" ht="15">
      <c r="A130" s="34"/>
      <c r="B130" s="20"/>
      <c r="C130" s="20"/>
      <c r="D130" s="20"/>
      <c r="E130" s="20"/>
      <c r="F130" s="20"/>
      <c r="G130" s="20"/>
      <c r="H130" s="20"/>
      <c r="J130" s="32"/>
    </row>
    <row r="131" spans="1:10" s="33" customFormat="1" ht="15">
      <c r="A131" s="34"/>
      <c r="B131" s="20"/>
      <c r="C131" s="20"/>
      <c r="D131" s="20"/>
      <c r="E131" s="20"/>
      <c r="F131" s="20"/>
      <c r="G131" s="20"/>
      <c r="H131" s="20"/>
      <c r="J131" s="32"/>
    </row>
    <row r="132" spans="1:10" s="33" customFormat="1" ht="15">
      <c r="A132" s="34"/>
      <c r="B132" s="20"/>
      <c r="C132" s="20"/>
      <c r="D132" s="20"/>
      <c r="E132" s="20"/>
      <c r="F132" s="20"/>
      <c r="G132" s="20"/>
      <c r="H132" s="20"/>
      <c r="J132" s="32"/>
    </row>
    <row r="133" spans="1:10" s="33" customFormat="1" ht="15">
      <c r="A133" s="34"/>
      <c r="B133" s="20"/>
      <c r="C133" s="20"/>
      <c r="D133" s="20"/>
      <c r="E133" s="20"/>
      <c r="F133" s="20"/>
      <c r="G133" s="20"/>
      <c r="H133" s="20"/>
      <c r="J133" s="32"/>
    </row>
    <row r="134" spans="1:10" s="33" customFormat="1" ht="15">
      <c r="A134" s="34"/>
      <c r="B134" s="20"/>
      <c r="C134" s="20"/>
      <c r="D134" s="20"/>
      <c r="E134" s="20"/>
      <c r="F134" s="20"/>
      <c r="G134" s="20"/>
      <c r="H134" s="20"/>
      <c r="J134" s="32"/>
    </row>
    <row r="135" spans="1:10" s="33" customFormat="1" ht="15">
      <c r="A135" s="34"/>
      <c r="B135" s="20"/>
      <c r="C135" s="20"/>
      <c r="D135" s="20"/>
      <c r="E135" s="20"/>
      <c r="F135" s="20"/>
      <c r="G135" s="20"/>
      <c r="H135" s="20"/>
      <c r="J135" s="32"/>
    </row>
    <row r="136" spans="1:10" s="33" customFormat="1" ht="15">
      <c r="A136" s="34"/>
      <c r="B136" s="20"/>
      <c r="C136" s="20"/>
      <c r="D136" s="20"/>
      <c r="E136" s="20"/>
      <c r="F136" s="20"/>
      <c r="G136" s="20"/>
      <c r="H136" s="20"/>
      <c r="J136" s="32"/>
    </row>
    <row r="137" spans="1:10" s="33" customFormat="1" ht="15">
      <c r="A137" s="34"/>
      <c r="B137" s="20"/>
      <c r="C137" s="20"/>
      <c r="D137" s="20"/>
      <c r="E137" s="20"/>
      <c r="F137" s="20"/>
      <c r="G137" s="20"/>
      <c r="H137" s="20"/>
      <c r="J137" s="32"/>
    </row>
    <row r="138" spans="1:10" s="33" customFormat="1" ht="15">
      <c r="A138" s="34"/>
      <c r="B138" s="20"/>
      <c r="C138" s="20"/>
      <c r="D138" s="20"/>
      <c r="E138" s="20"/>
      <c r="F138" s="20"/>
      <c r="G138" s="20"/>
      <c r="H138" s="20"/>
      <c r="J138" s="32"/>
    </row>
    <row r="139" spans="1:10" s="33" customFormat="1" ht="15">
      <c r="A139" s="34"/>
      <c r="B139" s="20"/>
      <c r="C139" s="20"/>
      <c r="D139" s="20"/>
      <c r="E139" s="20"/>
      <c r="F139" s="20"/>
      <c r="G139" s="20"/>
      <c r="H139" s="20"/>
      <c r="J139" s="32"/>
    </row>
    <row r="140" spans="1:10" s="33" customFormat="1" ht="15">
      <c r="A140" s="34"/>
      <c r="B140" s="20"/>
      <c r="C140" s="20"/>
      <c r="D140" s="20"/>
      <c r="E140" s="20"/>
      <c r="F140" s="20"/>
      <c r="G140" s="20"/>
      <c r="H140" s="20"/>
      <c r="J140" s="32"/>
    </row>
    <row r="141" spans="1:10" s="33" customFormat="1" ht="15">
      <c r="A141" s="34"/>
      <c r="B141" s="20"/>
      <c r="C141" s="20"/>
      <c r="D141" s="20"/>
      <c r="E141" s="20"/>
      <c r="F141" s="20"/>
      <c r="G141" s="20"/>
      <c r="H141" s="20"/>
      <c r="J141" s="32"/>
    </row>
    <row r="142" spans="1:10" s="33" customFormat="1" ht="15">
      <c r="A142" s="34"/>
      <c r="B142" s="20"/>
      <c r="C142" s="20"/>
      <c r="D142" s="20"/>
      <c r="E142" s="20"/>
      <c r="F142" s="20"/>
      <c r="G142" s="20"/>
      <c r="H142" s="20"/>
      <c r="J142" s="32"/>
    </row>
    <row r="143" spans="1:10" s="33" customFormat="1" ht="15">
      <c r="A143" s="34"/>
      <c r="B143" s="20"/>
      <c r="C143" s="20"/>
      <c r="D143" s="20"/>
      <c r="E143" s="20"/>
      <c r="F143" s="20"/>
      <c r="G143" s="20"/>
      <c r="H143" s="20"/>
      <c r="J143" s="32"/>
    </row>
    <row r="144" spans="1:10" s="33" customFormat="1" ht="15">
      <c r="A144" s="34"/>
      <c r="B144" s="20"/>
      <c r="C144" s="20"/>
      <c r="D144" s="20"/>
      <c r="E144" s="20"/>
      <c r="F144" s="20"/>
      <c r="G144" s="20"/>
      <c r="H144" s="20"/>
      <c r="J144" s="32"/>
    </row>
    <row r="145" spans="1:10" s="33" customFormat="1" ht="15">
      <c r="A145" s="34"/>
      <c r="B145" s="20"/>
      <c r="C145" s="20"/>
      <c r="D145" s="20"/>
      <c r="E145" s="20"/>
      <c r="F145" s="20"/>
      <c r="G145" s="20"/>
      <c r="H145" s="20"/>
      <c r="J145" s="32"/>
    </row>
    <row r="146" spans="1:10" s="33" customFormat="1" ht="15">
      <c r="A146" s="34"/>
      <c r="B146" s="20"/>
      <c r="C146" s="20"/>
      <c r="D146" s="20"/>
      <c r="E146" s="20"/>
      <c r="F146" s="20"/>
      <c r="G146" s="20"/>
      <c r="H146" s="20"/>
      <c r="J146" s="32"/>
    </row>
    <row r="147" spans="1:10" s="33" customFormat="1" ht="15">
      <c r="A147" s="34"/>
      <c r="B147" s="20"/>
      <c r="C147" s="20"/>
      <c r="D147" s="20"/>
      <c r="E147" s="20"/>
      <c r="F147" s="20"/>
      <c r="G147" s="20"/>
      <c r="H147" s="20"/>
      <c r="J147" s="32"/>
    </row>
    <row r="148" spans="1:10" s="33" customFormat="1" ht="15">
      <c r="A148" s="34"/>
      <c r="B148" s="20"/>
      <c r="C148" s="20"/>
      <c r="D148" s="20"/>
      <c r="E148" s="20"/>
      <c r="F148" s="20"/>
      <c r="G148" s="20"/>
      <c r="H148" s="20"/>
      <c r="J148" s="32"/>
    </row>
    <row r="149" spans="1:10" s="33" customFormat="1" ht="15">
      <c r="A149" s="34"/>
      <c r="B149" s="20"/>
      <c r="C149" s="20"/>
      <c r="D149" s="20"/>
      <c r="E149" s="20"/>
      <c r="F149" s="20"/>
      <c r="G149" s="20"/>
      <c r="H149" s="20"/>
      <c r="J149" s="32"/>
    </row>
    <row r="150" spans="1:10" s="33" customFormat="1" ht="15">
      <c r="A150" s="34"/>
      <c r="B150" s="20"/>
      <c r="C150" s="20"/>
      <c r="D150" s="20"/>
      <c r="E150" s="20"/>
      <c r="F150" s="20"/>
      <c r="G150" s="20"/>
      <c r="H150" s="20"/>
      <c r="J150" s="32"/>
    </row>
    <row r="151" spans="1:10" s="33" customFormat="1" ht="15">
      <c r="A151" s="34"/>
      <c r="B151" s="20"/>
      <c r="C151" s="20"/>
      <c r="D151" s="20"/>
      <c r="E151" s="20"/>
      <c r="F151" s="20"/>
      <c r="G151" s="20"/>
      <c r="H151" s="20"/>
      <c r="J151" s="32"/>
    </row>
    <row r="152" spans="1:10" s="33" customFormat="1" ht="15">
      <c r="A152" s="34"/>
      <c r="B152" s="20"/>
      <c r="C152" s="20"/>
      <c r="D152" s="20"/>
      <c r="E152" s="20"/>
      <c r="F152" s="20"/>
      <c r="G152" s="20"/>
      <c r="H152" s="20"/>
      <c r="J152" s="32"/>
    </row>
    <row r="153" spans="1:10" s="33" customFormat="1" ht="15">
      <c r="A153" s="34"/>
      <c r="B153" s="20"/>
      <c r="C153" s="20"/>
      <c r="D153" s="20"/>
      <c r="E153" s="20"/>
      <c r="F153" s="20"/>
      <c r="G153" s="20"/>
      <c r="H153" s="20"/>
      <c r="J153" s="32"/>
    </row>
    <row r="154" spans="1:10" s="33" customFormat="1" ht="15">
      <c r="A154" s="34"/>
      <c r="B154" s="20"/>
      <c r="C154" s="20"/>
      <c r="D154" s="20"/>
      <c r="E154" s="20"/>
      <c r="F154" s="20"/>
      <c r="G154" s="20"/>
      <c r="H154" s="20"/>
      <c r="J154" s="32"/>
    </row>
    <row r="155" spans="1:10" s="33" customFormat="1" ht="15">
      <c r="A155" s="34"/>
      <c r="B155" s="20"/>
      <c r="C155" s="20"/>
      <c r="D155" s="20"/>
      <c r="E155" s="20"/>
      <c r="F155" s="20"/>
      <c r="G155" s="20"/>
      <c r="H155" s="20"/>
      <c r="J155" s="32"/>
    </row>
    <row r="156" spans="1:10" s="33" customFormat="1" ht="15">
      <c r="A156" s="34"/>
      <c r="B156" s="20"/>
      <c r="C156" s="20"/>
      <c r="D156" s="20"/>
      <c r="E156" s="20"/>
      <c r="F156" s="20"/>
      <c r="G156" s="20"/>
      <c r="H156" s="20"/>
      <c r="J156" s="32"/>
    </row>
    <row r="157" spans="1:10" s="33" customFormat="1" ht="15">
      <c r="A157" s="34"/>
      <c r="B157" s="20"/>
      <c r="C157" s="20"/>
      <c r="D157" s="20"/>
      <c r="E157" s="20"/>
      <c r="F157" s="20"/>
      <c r="G157" s="20"/>
      <c r="H157" s="20"/>
      <c r="J157" s="32"/>
    </row>
    <row r="158" spans="1:10" s="33" customFormat="1" ht="15">
      <c r="A158" s="34"/>
      <c r="B158" s="20"/>
      <c r="C158" s="20"/>
      <c r="D158" s="20"/>
      <c r="E158" s="20"/>
      <c r="F158" s="20"/>
      <c r="G158" s="20"/>
      <c r="H158" s="20"/>
      <c r="J158" s="32"/>
    </row>
    <row r="159" spans="1:10" s="33" customFormat="1" ht="15">
      <c r="A159" s="34"/>
      <c r="B159" s="20"/>
      <c r="C159" s="20"/>
      <c r="D159" s="20"/>
      <c r="E159" s="20"/>
      <c r="F159" s="20"/>
      <c r="G159" s="20"/>
      <c r="H159" s="20"/>
      <c r="J159" s="32"/>
    </row>
    <row r="160" spans="4:10" ht="15">
      <c r="D160" s="20"/>
      <c r="E160" s="20"/>
      <c r="F160" s="20"/>
      <c r="G160" s="20"/>
      <c r="H160" s="20"/>
      <c r="J160" s="32"/>
    </row>
  </sheetData>
  <mergeCells count="10">
    <mergeCell ref="A57:G57"/>
    <mergeCell ref="A58:G58"/>
    <mergeCell ref="A12:A13"/>
    <mergeCell ref="F12:G12"/>
    <mergeCell ref="H12:H13"/>
    <mergeCell ref="I12:I13"/>
    <mergeCell ref="B12:B13"/>
    <mergeCell ref="C12:C13"/>
    <mergeCell ref="D12:D13"/>
    <mergeCell ref="E12:E13"/>
  </mergeCells>
  <printOptions horizontalCentered="1"/>
  <pageMargins left="0.31496062992125984" right="0.31496062992125984" top="1.7716535433070868" bottom="0.7874015748031497" header="0.7086614173228347" footer="0.31496062992125984"/>
  <pageSetup fitToHeight="5" horizontalDpi="600" verticalDpi="600" orientation="landscape" paperSize="9" scale="80" r:id="rId2"/>
  <headerFooter alignWithMargins="0">
    <oddHeader>&amp;L
&amp;R&amp;P de&amp;N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96"/>
  <sheetViews>
    <sheetView tabSelected="1" view="pageLayout" zoomScaleSheetLayoutView="100" workbookViewId="0" topLeftCell="A22">
      <selection activeCell="C8" sqref="C8"/>
    </sheetView>
  </sheetViews>
  <sheetFormatPr defaultColWidth="9.140625" defaultRowHeight="15"/>
  <cols>
    <col min="1" max="1" width="67.7109375" style="0" customWidth="1"/>
    <col min="2" max="2" width="9.57421875" style="0" customWidth="1"/>
    <col min="3" max="3" width="11.57421875" style="0" customWidth="1"/>
    <col min="4" max="4" width="13.28125" style="0" customWidth="1"/>
    <col min="5" max="5" width="12.421875" style="0" customWidth="1"/>
    <col min="6" max="6" width="13.421875" style="0" customWidth="1"/>
    <col min="7" max="7" width="13.7109375" style="0" customWidth="1"/>
    <col min="8" max="8" width="16.00390625" style="0" customWidth="1"/>
    <col min="9" max="9" width="11.421875" style="0" bestFit="1" customWidth="1"/>
  </cols>
  <sheetData>
    <row r="7" spans="1:6" ht="21">
      <c r="A7" s="177" t="str">
        <f>PLANILHA!A7</f>
        <v>APLICAÇÃO DE REVESTIMENTO ASFALTICO (CBUQ) SOBRE PARALELEPIPEDO EM DIVERSAS RUAS</v>
      </c>
      <c r="B7" s="150"/>
      <c r="C7" s="102"/>
      <c r="D7" s="102"/>
      <c r="E7" s="102"/>
      <c r="F7" s="102"/>
    </row>
    <row r="8" spans="1:6" ht="15">
      <c r="A8" s="151" t="str">
        <f>PLANILHA!A8</f>
        <v>MODALIDADE:  PAVIMENTAÇÃO E SINALIZAÇÃO HORIZONTAL</v>
      </c>
      <c r="B8" s="152"/>
      <c r="C8" s="105"/>
      <c r="D8" s="105"/>
      <c r="E8" s="105"/>
      <c r="F8" s="105"/>
    </row>
    <row r="9" spans="1:6" ht="15">
      <c r="A9" s="153" t="str">
        <f>PLANILHA!A9</f>
        <v>FASE : ÚNICA</v>
      </c>
      <c r="B9" s="152"/>
      <c r="C9" s="325"/>
      <c r="D9" s="325"/>
      <c r="E9" s="250"/>
      <c r="F9" s="250"/>
    </row>
    <row r="10" spans="1:6" ht="16.5" customHeight="1">
      <c r="A10" s="108" t="str">
        <f>PLANILHA!A10</f>
        <v>LOCAL: VERDEJANTE - PE</v>
      </c>
      <c r="B10" s="109"/>
      <c r="C10" s="110" t="str">
        <f>PLANILHA!F10</f>
        <v>DATA : JUNHO/2021</v>
      </c>
      <c r="D10" s="110" t="str">
        <f>PLANILHA!H10</f>
        <v>REVISÃO: JUNHO/2021</v>
      </c>
      <c r="E10" s="110"/>
      <c r="F10" s="110"/>
    </row>
    <row r="11" spans="1:6" ht="16.5" customHeight="1">
      <c r="A11" s="108" t="str">
        <f>PLANILHA!A11</f>
        <v>BAIRRO: CENTRO</v>
      </c>
      <c r="B11" s="152"/>
      <c r="C11" s="154" t="s">
        <v>92</v>
      </c>
      <c r="D11" s="112" t="str">
        <f>PLANILHA!H11</f>
        <v>SINAPI ABRIL/2021 E SEINFRA 027.1</v>
      </c>
      <c r="E11" s="252"/>
      <c r="F11" s="252"/>
    </row>
    <row r="12" spans="1:9" ht="15">
      <c r="A12" s="326" t="s">
        <v>74</v>
      </c>
      <c r="B12" s="326"/>
      <c r="C12" s="326"/>
      <c r="D12" s="326"/>
      <c r="E12" s="326"/>
      <c r="F12" s="326"/>
      <c r="G12" s="326"/>
      <c r="H12" s="326"/>
      <c r="I12" s="326"/>
    </row>
    <row r="13" spans="7:9" ht="15">
      <c r="G13" s="75" t="s">
        <v>59</v>
      </c>
      <c r="I13" s="75" t="s">
        <v>63</v>
      </c>
    </row>
    <row r="14" spans="7:9" ht="15">
      <c r="G14" s="94">
        <v>0.04</v>
      </c>
      <c r="I14" s="71">
        <v>2.4</v>
      </c>
    </row>
    <row r="15" spans="1:9" ht="43.2">
      <c r="A15" s="71" t="s">
        <v>56</v>
      </c>
      <c r="B15" s="71" t="s">
        <v>57</v>
      </c>
      <c r="C15" s="71" t="s">
        <v>58</v>
      </c>
      <c r="D15" s="71" t="s">
        <v>60</v>
      </c>
      <c r="E15" s="264" t="s">
        <v>122</v>
      </c>
      <c r="F15" s="249" t="s">
        <v>121</v>
      </c>
      <c r="G15" s="71" t="s">
        <v>59</v>
      </c>
      <c r="H15" s="71" t="s">
        <v>61</v>
      </c>
      <c r="I15" s="71" t="s">
        <v>62</v>
      </c>
    </row>
    <row r="16" spans="1:13" ht="15">
      <c r="A16" s="191" t="s">
        <v>111</v>
      </c>
      <c r="B16" s="218">
        <f>(252.4+252.8)/2</f>
        <v>252.6</v>
      </c>
      <c r="C16" s="218">
        <f>(8.6+10)/2</f>
        <v>9.3</v>
      </c>
      <c r="D16" s="73">
        <f aca="true" t="shared" si="0" ref="D16:D20">B16*C16</f>
        <v>2349.18</v>
      </c>
      <c r="E16" s="217">
        <f>((1.87*1.61)/2)+((1.81*2.12/2))</f>
        <v>3.42</v>
      </c>
      <c r="F16" s="217">
        <f>D16+E16</f>
        <v>2352.6</v>
      </c>
      <c r="G16" s="73">
        <f>$G$14</f>
        <v>0.04</v>
      </c>
      <c r="H16" s="73">
        <f>F16*G16</f>
        <v>94.1</v>
      </c>
      <c r="I16" s="73">
        <f>H16*$I$14</f>
        <v>225.84</v>
      </c>
      <c r="K16" s="189"/>
      <c r="L16" s="216"/>
      <c r="M16" s="216"/>
    </row>
    <row r="17" spans="1:9" ht="15">
      <c r="A17" s="191" t="s">
        <v>112</v>
      </c>
      <c r="B17" s="218">
        <f>(357.4+357.2)/2</f>
        <v>357.3</v>
      </c>
      <c r="C17" s="218">
        <f>(8.14+8.1)/2</f>
        <v>8.12</v>
      </c>
      <c r="D17" s="217">
        <f t="shared" si="0"/>
        <v>2901.28</v>
      </c>
      <c r="E17" s="217">
        <f>((1.36*1.55)/2)+((0.89*1.01/2))+((8.35*40.35)+((40.35*3.6/2))+(9.05*12.21)+(7.7*5.56))</f>
        <v>564.37</v>
      </c>
      <c r="F17" s="217">
        <f>D17+E17</f>
        <v>3465.65</v>
      </c>
      <c r="G17" s="73">
        <f aca="true" t="shared" si="1" ref="G17:G21">$G$14</f>
        <v>0.04</v>
      </c>
      <c r="H17" s="217">
        <f>F17*G17</f>
        <v>138.63</v>
      </c>
      <c r="I17" s="73">
        <f aca="true" t="shared" si="2" ref="I17">H17*$I$14</f>
        <v>332.71</v>
      </c>
    </row>
    <row r="18" spans="1:9" ht="15">
      <c r="A18" s="191" t="s">
        <v>113</v>
      </c>
      <c r="B18" s="218">
        <f>(227.08+229.45)/2</f>
        <v>228.27</v>
      </c>
      <c r="C18" s="218">
        <f>(8+7.52)/2</f>
        <v>7.76</v>
      </c>
      <c r="D18" s="193">
        <f t="shared" si="0"/>
        <v>1771.38</v>
      </c>
      <c r="E18" s="217">
        <f>(30.54*6.96)+(32.1*6.4)+((1.77*1.21)/2)+((1.36*0.84/2))</f>
        <v>419.64</v>
      </c>
      <c r="F18" s="217">
        <f aca="true" t="shared" si="3" ref="F18">D18+E18</f>
        <v>2191.02</v>
      </c>
      <c r="G18" s="73">
        <f t="shared" si="1"/>
        <v>0.04</v>
      </c>
      <c r="H18" s="217">
        <f aca="true" t="shared" si="4" ref="H18:H28">F18*G18</f>
        <v>87.64</v>
      </c>
      <c r="I18" s="73">
        <f aca="true" t="shared" si="5" ref="I18:I19">H18*$I$14</f>
        <v>210.34</v>
      </c>
    </row>
    <row r="19" spans="1:9" ht="15">
      <c r="A19" s="191" t="s">
        <v>114</v>
      </c>
      <c r="B19" s="218">
        <f>(186+186.3)/2</f>
        <v>186.15</v>
      </c>
      <c r="C19" s="218">
        <f>(7.38+8.1)/2</f>
        <v>7.74</v>
      </c>
      <c r="D19" s="73">
        <f>B19*C19</f>
        <v>1440.8</v>
      </c>
      <c r="E19" s="217">
        <f>((0.79*0.62)/2)+((0.7*0.59/2))</f>
        <v>0.45</v>
      </c>
      <c r="F19" s="217">
        <f aca="true" t="shared" si="6" ref="F19:F28">D19+E19</f>
        <v>1441.25</v>
      </c>
      <c r="G19" s="73">
        <f t="shared" si="1"/>
        <v>0.04</v>
      </c>
      <c r="H19" s="217">
        <f t="shared" si="4"/>
        <v>57.65</v>
      </c>
      <c r="I19" s="73">
        <f t="shared" si="5"/>
        <v>138.36</v>
      </c>
    </row>
    <row r="20" spans="1:9" ht="15">
      <c r="A20" s="191" t="s">
        <v>119</v>
      </c>
      <c r="B20" s="200">
        <f>(111.54+111.92)/2</f>
        <v>111.73</v>
      </c>
      <c r="C20" s="218">
        <f>(6.8+7.2)/2</f>
        <v>7</v>
      </c>
      <c r="D20" s="73">
        <f t="shared" si="0"/>
        <v>782.11</v>
      </c>
      <c r="E20" s="217">
        <f>((2.57*2.16)/2)+((1.7*1.71/2))</f>
        <v>4.23</v>
      </c>
      <c r="F20" s="217">
        <f t="shared" si="6"/>
        <v>786.34</v>
      </c>
      <c r="G20" s="73">
        <f t="shared" si="1"/>
        <v>0.04</v>
      </c>
      <c r="H20" s="217">
        <f>F20*G20</f>
        <v>31.45</v>
      </c>
      <c r="I20" s="73">
        <f aca="true" t="shared" si="7" ref="I20">H20*$I$14</f>
        <v>75.48</v>
      </c>
    </row>
    <row r="21" spans="1:9" ht="15">
      <c r="A21" s="191" t="s">
        <v>120</v>
      </c>
      <c r="B21" s="218">
        <f>(33.46+33.4)/2</f>
        <v>33.43</v>
      </c>
      <c r="C21" s="218">
        <f>(7.3+7.9)/2</f>
        <v>7.6</v>
      </c>
      <c r="D21" s="193">
        <f>B21*C21</f>
        <v>254.07</v>
      </c>
      <c r="E21" s="217">
        <f>((2*1.23)/2)+((1.56*1.05/2))</f>
        <v>2.05</v>
      </c>
      <c r="F21" s="217">
        <f t="shared" si="6"/>
        <v>256.12</v>
      </c>
      <c r="G21" s="193">
        <f t="shared" si="1"/>
        <v>0.04</v>
      </c>
      <c r="H21" s="217">
        <f t="shared" si="4"/>
        <v>10.24</v>
      </c>
      <c r="I21" s="193">
        <f aca="true" t="shared" si="8" ref="I21">H21*$I$14</f>
        <v>24.58</v>
      </c>
    </row>
    <row r="22" spans="1:9" ht="15">
      <c r="A22" s="191" t="s">
        <v>115</v>
      </c>
      <c r="B22" s="218">
        <f>(65.3+65.2)/2</f>
        <v>65.25</v>
      </c>
      <c r="C22" s="218">
        <f>(3+3.1)/2</f>
        <v>3.05</v>
      </c>
      <c r="D22" s="73">
        <f aca="true" t="shared" si="9" ref="D22:D28">B22*C22</f>
        <v>199.01</v>
      </c>
      <c r="E22" s="217">
        <f>((2.1+2.1)/2)+((2.2*2.2/2))</f>
        <v>4.52</v>
      </c>
      <c r="F22" s="217">
        <f t="shared" si="6"/>
        <v>203.53</v>
      </c>
      <c r="G22" s="73">
        <f aca="true" t="shared" si="10" ref="G22:G28">$G$14</f>
        <v>0.04</v>
      </c>
      <c r="H22" s="217">
        <f t="shared" si="4"/>
        <v>8.14</v>
      </c>
      <c r="I22" s="73">
        <f aca="true" t="shared" si="11" ref="I22:I27">H22*$I$14</f>
        <v>19.54</v>
      </c>
    </row>
    <row r="23" spans="1:9" ht="15">
      <c r="A23" s="191" t="s">
        <v>123</v>
      </c>
      <c r="B23" s="218">
        <f>(116.86+117.22)/2</f>
        <v>117.04</v>
      </c>
      <c r="C23" s="218">
        <f>(7.32+7.24)/2</f>
        <v>7.28</v>
      </c>
      <c r="D23" s="193">
        <f t="shared" si="9"/>
        <v>852.05</v>
      </c>
      <c r="E23" s="217">
        <f>((1.24*1.16)/2)+((1.48*1.65/2))</f>
        <v>1.94</v>
      </c>
      <c r="F23" s="217">
        <f t="shared" si="6"/>
        <v>853.99</v>
      </c>
      <c r="G23" s="73">
        <f t="shared" si="10"/>
        <v>0.04</v>
      </c>
      <c r="H23" s="217">
        <f t="shared" si="4"/>
        <v>34.16</v>
      </c>
      <c r="I23" s="73">
        <f aca="true" t="shared" si="12" ref="I23">H23*$I$14</f>
        <v>81.98</v>
      </c>
    </row>
    <row r="24" spans="1:9" ht="15">
      <c r="A24" s="191" t="s">
        <v>124</v>
      </c>
      <c r="B24" s="218">
        <f>(29+28.9)/2</f>
        <v>28.95</v>
      </c>
      <c r="C24" s="218">
        <f>(7.08+7.38)/2</f>
        <v>7.23</v>
      </c>
      <c r="D24" s="73">
        <f t="shared" si="9"/>
        <v>209.31</v>
      </c>
      <c r="E24" s="217">
        <f>((0.63*1.52)/2)+((0.48*0.83/2))</f>
        <v>0.68</v>
      </c>
      <c r="F24" s="217">
        <f t="shared" si="6"/>
        <v>209.99</v>
      </c>
      <c r="G24" s="73">
        <f t="shared" si="10"/>
        <v>0.04</v>
      </c>
      <c r="H24" s="217">
        <f t="shared" si="4"/>
        <v>8.4</v>
      </c>
      <c r="I24" s="73">
        <f t="shared" si="11"/>
        <v>20.16</v>
      </c>
    </row>
    <row r="25" spans="1:9" ht="15">
      <c r="A25" s="191" t="s">
        <v>125</v>
      </c>
      <c r="B25" s="218">
        <f>(61.3+62)/2</f>
        <v>61.65</v>
      </c>
      <c r="C25" s="218">
        <f>(7.05+6.85)/2</f>
        <v>6.95</v>
      </c>
      <c r="D25" s="73">
        <f t="shared" si="9"/>
        <v>428.47</v>
      </c>
      <c r="E25" s="217">
        <f>((1.92*1.43)/2)+((1.95*1.82/2))</f>
        <v>3.15</v>
      </c>
      <c r="F25" s="217">
        <f t="shared" si="6"/>
        <v>431.62</v>
      </c>
      <c r="G25" s="73">
        <f t="shared" si="10"/>
        <v>0.04</v>
      </c>
      <c r="H25" s="217">
        <f t="shared" si="4"/>
        <v>17.26</v>
      </c>
      <c r="I25" s="73">
        <f t="shared" si="11"/>
        <v>41.42</v>
      </c>
    </row>
    <row r="26" spans="1:9" ht="15">
      <c r="A26" s="191" t="s">
        <v>116</v>
      </c>
      <c r="B26" s="218">
        <f>(146.3+146.1)/2</f>
        <v>146.2</v>
      </c>
      <c r="C26" s="218">
        <f>(7.15+7.26)/2</f>
        <v>7.21</v>
      </c>
      <c r="D26" s="73">
        <f aca="true" t="shared" si="13" ref="D26">B26*C26</f>
        <v>1054.1</v>
      </c>
      <c r="E26" s="217">
        <f>((0.94*1.37)/2)+((0.74*0.57/2))</f>
        <v>0.85</v>
      </c>
      <c r="F26" s="217">
        <f t="shared" si="6"/>
        <v>1054.95</v>
      </c>
      <c r="G26" s="73">
        <f t="shared" si="10"/>
        <v>0.04</v>
      </c>
      <c r="H26" s="217">
        <f t="shared" si="4"/>
        <v>42.2</v>
      </c>
      <c r="I26" s="73">
        <f aca="true" t="shared" si="14" ref="I26">H26*$I$14</f>
        <v>101.28</v>
      </c>
    </row>
    <row r="27" spans="1:9" ht="15">
      <c r="A27" s="191" t="s">
        <v>117</v>
      </c>
      <c r="B27" s="218">
        <f>(31.94+31.72)/2</f>
        <v>31.83</v>
      </c>
      <c r="C27" s="218">
        <f>(5.94+6.1)/2</f>
        <v>6.02</v>
      </c>
      <c r="D27" s="73">
        <f>B27*C27</f>
        <v>191.62</v>
      </c>
      <c r="E27" s="217">
        <f>((1.85*1.5)/2)+((1.83*1.74/2))</f>
        <v>2.98</v>
      </c>
      <c r="F27" s="217">
        <f t="shared" si="6"/>
        <v>194.6</v>
      </c>
      <c r="G27" s="73">
        <f t="shared" si="10"/>
        <v>0.04</v>
      </c>
      <c r="H27" s="217">
        <f t="shared" si="4"/>
        <v>7.78</v>
      </c>
      <c r="I27" s="73">
        <f t="shared" si="11"/>
        <v>18.67</v>
      </c>
    </row>
    <row r="28" spans="1:9" ht="15">
      <c r="A28" s="191" t="s">
        <v>118</v>
      </c>
      <c r="B28" s="218">
        <f>(60.57+60.4)/2</f>
        <v>60.49</v>
      </c>
      <c r="C28" s="218">
        <f>(6.98+6.96)/2</f>
        <v>6.97</v>
      </c>
      <c r="D28" s="193">
        <f t="shared" si="9"/>
        <v>421.62</v>
      </c>
      <c r="E28" s="217">
        <f>((1.28*1.26)/2)+((3.05*1.81/2))</f>
        <v>3.57</v>
      </c>
      <c r="F28" s="217">
        <f t="shared" si="6"/>
        <v>425.19</v>
      </c>
      <c r="G28" s="73">
        <f t="shared" si="10"/>
        <v>0.04</v>
      </c>
      <c r="H28" s="217">
        <f t="shared" si="4"/>
        <v>17.01</v>
      </c>
      <c r="I28" s="73">
        <f aca="true" t="shared" si="15" ref="I28">H28*$I$14</f>
        <v>40.82</v>
      </c>
    </row>
    <row r="29" spans="1:11" ht="15">
      <c r="A29" s="257"/>
      <c r="B29" s="215"/>
      <c r="C29" s="215"/>
      <c r="D29" s="73"/>
      <c r="E29" s="217"/>
      <c r="F29" s="217"/>
      <c r="G29" s="73"/>
      <c r="H29" s="217"/>
      <c r="I29" s="73"/>
      <c r="K29" s="216"/>
    </row>
    <row r="30" spans="1:9" ht="15">
      <c r="A30" s="213" t="s">
        <v>64</v>
      </c>
      <c r="B30" s="81">
        <f>SUM(B16:B29)</f>
        <v>1680.89</v>
      </c>
      <c r="C30" s="214"/>
      <c r="D30" s="81">
        <f>SUM(D16:D29)</f>
        <v>12855</v>
      </c>
      <c r="E30" s="194"/>
      <c r="F30" s="81">
        <f>SUM(F16:F29)</f>
        <v>13866.85</v>
      </c>
      <c r="G30" s="78"/>
      <c r="H30" s="76">
        <f>SUM(H16:H29)</f>
        <v>554.66</v>
      </c>
      <c r="I30" s="81">
        <f>SUM(I16:I29)</f>
        <v>1331.18</v>
      </c>
    </row>
    <row r="31" ht="15">
      <c r="B31" s="192"/>
    </row>
    <row r="33" spans="1:8" ht="15">
      <c r="A33" s="326" t="s">
        <v>99</v>
      </c>
      <c r="B33" s="326"/>
      <c r="C33" s="326"/>
      <c r="D33" s="326"/>
      <c r="E33" s="253"/>
      <c r="F33" s="253"/>
      <c r="H33" s="188"/>
    </row>
    <row r="34" spans="1:6" ht="15">
      <c r="A34" s="75" t="s">
        <v>73</v>
      </c>
      <c r="B34" s="74" t="s">
        <v>62</v>
      </c>
      <c r="C34" s="74" t="s">
        <v>68</v>
      </c>
      <c r="D34" s="74" t="s">
        <v>69</v>
      </c>
      <c r="E34" s="254"/>
      <c r="F34" s="254"/>
    </row>
    <row r="35" spans="1:6" ht="15">
      <c r="A35" s="72" t="s">
        <v>67</v>
      </c>
      <c r="B35" s="73">
        <f>I30</f>
        <v>1331.18</v>
      </c>
      <c r="C35" s="258">
        <v>60</v>
      </c>
      <c r="D35" s="76">
        <f>B35*C35</f>
        <v>79870.8</v>
      </c>
      <c r="E35" s="255"/>
      <c r="F35" s="255">
        <f>D35*I16</f>
        <v>18038021.47</v>
      </c>
    </row>
    <row r="38" spans="1:6" ht="15">
      <c r="A38" s="326" t="s">
        <v>75</v>
      </c>
      <c r="B38" s="326"/>
      <c r="C38" s="326"/>
      <c r="D38" s="326"/>
      <c r="E38" s="253"/>
      <c r="F38" s="253"/>
    </row>
    <row r="39" spans="1:6" ht="15">
      <c r="A39" s="71" t="s">
        <v>56</v>
      </c>
      <c r="B39" s="71" t="s">
        <v>57</v>
      </c>
      <c r="C39" s="71" t="s">
        <v>58</v>
      </c>
      <c r="D39" s="71" t="s">
        <v>60</v>
      </c>
      <c r="E39" s="186"/>
      <c r="F39" s="186"/>
    </row>
    <row r="40" spans="1:6" ht="15">
      <c r="A40" s="191" t="s">
        <v>111</v>
      </c>
      <c r="B40" s="73">
        <f>(252.4+252.8)</f>
        <v>505.2</v>
      </c>
      <c r="C40" s="73">
        <v>0.1</v>
      </c>
      <c r="D40" s="73">
        <f>B40*C40*2</f>
        <v>101.04</v>
      </c>
      <c r="E40" s="187"/>
      <c r="F40" s="187"/>
    </row>
    <row r="41" spans="1:6" ht="15">
      <c r="A41" s="191" t="s">
        <v>112</v>
      </c>
      <c r="B41" s="217">
        <f>(357.4+357.2)</f>
        <v>714.6</v>
      </c>
      <c r="C41" s="73">
        <v>0.1</v>
      </c>
      <c r="D41" s="217">
        <f>B41*C41*2</f>
        <v>142.92</v>
      </c>
      <c r="E41" s="187"/>
      <c r="F41" s="187"/>
    </row>
    <row r="42" spans="1:6" ht="15">
      <c r="A42" s="191" t="s">
        <v>113</v>
      </c>
      <c r="B42" s="217">
        <f>(227.08+229.45)</f>
        <v>456.53</v>
      </c>
      <c r="C42" s="193">
        <v>0.1</v>
      </c>
      <c r="D42" s="217">
        <f aca="true" t="shared" si="16" ref="D42:D52">B42*C42*2</f>
        <v>91.31</v>
      </c>
      <c r="E42" s="187"/>
      <c r="F42" s="187"/>
    </row>
    <row r="43" spans="1:6" ht="15">
      <c r="A43" s="191" t="s">
        <v>114</v>
      </c>
      <c r="B43" s="217">
        <f>(186+186.3)</f>
        <v>372.3</v>
      </c>
      <c r="C43" s="73">
        <v>0.1</v>
      </c>
      <c r="D43" s="217">
        <f t="shared" si="16"/>
        <v>74.46</v>
      </c>
      <c r="E43" s="187"/>
      <c r="F43" s="187"/>
    </row>
    <row r="44" spans="1:6" ht="15">
      <c r="A44" s="191" t="s">
        <v>119</v>
      </c>
      <c r="B44" s="217">
        <f>(111.54+111.92)</f>
        <v>223.46</v>
      </c>
      <c r="C44" s="217">
        <v>0.1</v>
      </c>
      <c r="D44" s="217">
        <f t="shared" si="16"/>
        <v>44.69</v>
      </c>
      <c r="E44" s="187"/>
      <c r="F44" s="187"/>
    </row>
    <row r="45" spans="1:6" ht="15">
      <c r="A45" s="191" t="s">
        <v>120</v>
      </c>
      <c r="B45" s="217">
        <f>(33.46+33.4)</f>
        <v>66.86</v>
      </c>
      <c r="C45" s="217">
        <v>0.1</v>
      </c>
      <c r="D45" s="217">
        <f t="shared" si="16"/>
        <v>13.37</v>
      </c>
      <c r="E45" s="187"/>
      <c r="F45" s="187"/>
    </row>
    <row r="46" spans="1:6" ht="15">
      <c r="A46" s="191" t="s">
        <v>115</v>
      </c>
      <c r="B46" s="217">
        <f>(65.3+65.2)</f>
        <v>130.5</v>
      </c>
      <c r="C46" s="217">
        <v>0.1</v>
      </c>
      <c r="D46" s="217">
        <f t="shared" si="16"/>
        <v>26.1</v>
      </c>
      <c r="E46" s="187"/>
      <c r="F46" s="187"/>
    </row>
    <row r="47" spans="1:6" ht="15">
      <c r="A47" s="191" t="s">
        <v>123</v>
      </c>
      <c r="B47" s="217">
        <f>(116.86+117.22)</f>
        <v>234.08</v>
      </c>
      <c r="C47" s="217">
        <v>0.1</v>
      </c>
      <c r="D47" s="217">
        <f t="shared" si="16"/>
        <v>46.82</v>
      </c>
      <c r="E47" s="187"/>
      <c r="F47" s="187"/>
    </row>
    <row r="48" spans="1:6" ht="15">
      <c r="A48" s="191" t="s">
        <v>124</v>
      </c>
      <c r="B48" s="217">
        <f>(29+28.9)</f>
        <v>57.9</v>
      </c>
      <c r="C48" s="217">
        <v>0.1</v>
      </c>
      <c r="D48" s="217">
        <f t="shared" si="16"/>
        <v>11.58</v>
      </c>
      <c r="E48" s="187"/>
      <c r="F48" s="187"/>
    </row>
    <row r="49" spans="1:6" ht="15">
      <c r="A49" s="191" t="s">
        <v>125</v>
      </c>
      <c r="B49" s="217">
        <f>(61.3+62)</f>
        <v>123.3</v>
      </c>
      <c r="C49" s="217">
        <v>0.1</v>
      </c>
      <c r="D49" s="217">
        <f t="shared" si="16"/>
        <v>24.66</v>
      </c>
      <c r="E49" s="187"/>
      <c r="F49" s="187"/>
    </row>
    <row r="50" spans="1:6" ht="15">
      <c r="A50" s="191" t="s">
        <v>116</v>
      </c>
      <c r="B50" s="217">
        <f>(146.3+146.1)</f>
        <v>292.4</v>
      </c>
      <c r="C50" s="217">
        <v>0.1</v>
      </c>
      <c r="D50" s="217">
        <f t="shared" si="16"/>
        <v>58.48</v>
      </c>
      <c r="E50" s="187"/>
      <c r="F50" s="187"/>
    </row>
    <row r="51" spans="1:6" ht="15">
      <c r="A51" s="191" t="s">
        <v>117</v>
      </c>
      <c r="B51" s="217">
        <f>(31.94+31.72)</f>
        <v>63.66</v>
      </c>
      <c r="C51" s="217">
        <v>0.1</v>
      </c>
      <c r="D51" s="217">
        <f t="shared" si="16"/>
        <v>12.73</v>
      </c>
      <c r="E51" s="187"/>
      <c r="F51" s="187"/>
    </row>
    <row r="52" spans="1:6" ht="15">
      <c r="A52" s="191" t="s">
        <v>118</v>
      </c>
      <c r="B52" s="217">
        <f>(60.57+60.4)</f>
        <v>120.97</v>
      </c>
      <c r="C52" s="217">
        <v>0.1</v>
      </c>
      <c r="D52" s="217">
        <f t="shared" si="16"/>
        <v>24.19</v>
      </c>
      <c r="E52" s="187"/>
      <c r="F52" s="187"/>
    </row>
    <row r="53" spans="1:6" ht="15">
      <c r="A53" s="191"/>
      <c r="B53" s="218"/>
      <c r="C53" s="218"/>
      <c r="D53" s="218"/>
      <c r="E53" s="216"/>
      <c r="F53" s="216"/>
    </row>
    <row r="54" spans="1:6" ht="15">
      <c r="A54" s="327" t="s">
        <v>64</v>
      </c>
      <c r="B54" s="328"/>
      <c r="C54" s="328"/>
      <c r="D54" s="81">
        <f>SUM(D40:D53)</f>
        <v>672.35</v>
      </c>
      <c r="E54" s="256"/>
      <c r="F54" s="256"/>
    </row>
    <row r="57" spans="1:6" ht="15">
      <c r="A57" s="326" t="s">
        <v>76</v>
      </c>
      <c r="B57" s="326"/>
      <c r="C57" s="326"/>
      <c r="D57" s="326"/>
      <c r="E57" s="253"/>
      <c r="F57" s="253"/>
    </row>
    <row r="58" spans="1:6" ht="15">
      <c r="A58" s="71" t="s">
        <v>56</v>
      </c>
      <c r="B58" s="71" t="s">
        <v>57</v>
      </c>
      <c r="C58" s="71" t="s">
        <v>58</v>
      </c>
      <c r="D58" s="71" t="s">
        <v>60</v>
      </c>
      <c r="E58" s="186"/>
      <c r="F58" s="186"/>
    </row>
    <row r="59" spans="1:6" ht="15">
      <c r="A59" s="191" t="s">
        <v>111</v>
      </c>
      <c r="B59" s="73">
        <f aca="true" t="shared" si="17" ref="B59:B71">B16*0.8</f>
        <v>202.08</v>
      </c>
      <c r="C59" s="73">
        <v>0.1</v>
      </c>
      <c r="D59" s="73">
        <f>B59*C59</f>
        <v>20.21</v>
      </c>
      <c r="E59" s="187"/>
      <c r="F59" s="187"/>
    </row>
    <row r="60" spans="1:6" ht="15">
      <c r="A60" s="191" t="s">
        <v>112</v>
      </c>
      <c r="B60" s="217">
        <f t="shared" si="17"/>
        <v>285.84</v>
      </c>
      <c r="C60" s="73">
        <v>0.1</v>
      </c>
      <c r="D60" s="73">
        <f aca="true" t="shared" si="18" ref="D60:D71">B60*C60</f>
        <v>28.58</v>
      </c>
      <c r="E60" s="187"/>
      <c r="F60" s="187"/>
    </row>
    <row r="61" spans="1:6" ht="15">
      <c r="A61" s="191" t="s">
        <v>113</v>
      </c>
      <c r="B61" s="217">
        <f t="shared" si="17"/>
        <v>182.62</v>
      </c>
      <c r="C61" s="193">
        <v>0.1</v>
      </c>
      <c r="D61" s="193">
        <f>B61*C61</f>
        <v>18.26</v>
      </c>
      <c r="E61" s="187"/>
      <c r="F61" s="187"/>
    </row>
    <row r="62" spans="1:6" ht="15">
      <c r="A62" s="191" t="s">
        <v>114</v>
      </c>
      <c r="B62" s="217">
        <f t="shared" si="17"/>
        <v>148.92</v>
      </c>
      <c r="C62" s="73">
        <v>0.1</v>
      </c>
      <c r="D62" s="73">
        <f t="shared" si="18"/>
        <v>14.89</v>
      </c>
      <c r="E62" s="187"/>
      <c r="F62" s="187"/>
    </row>
    <row r="63" spans="1:6" ht="15">
      <c r="A63" s="191" t="s">
        <v>119</v>
      </c>
      <c r="B63" s="217">
        <f t="shared" si="17"/>
        <v>89.38</v>
      </c>
      <c r="C63" s="73">
        <v>0.1</v>
      </c>
      <c r="D63" s="73">
        <f t="shared" si="18"/>
        <v>8.94</v>
      </c>
      <c r="E63" s="187"/>
      <c r="F63" s="187"/>
    </row>
    <row r="64" spans="1:6" ht="15">
      <c r="A64" s="191" t="s">
        <v>120</v>
      </c>
      <c r="B64" s="217">
        <f t="shared" si="17"/>
        <v>26.74</v>
      </c>
      <c r="C64" s="217">
        <v>0.1</v>
      </c>
      <c r="D64" s="73">
        <f t="shared" si="18"/>
        <v>2.67</v>
      </c>
      <c r="E64" s="187"/>
      <c r="F64" s="187"/>
    </row>
    <row r="65" spans="1:6" ht="15">
      <c r="A65" s="191" t="s">
        <v>115</v>
      </c>
      <c r="B65" s="217">
        <f t="shared" si="17"/>
        <v>52.2</v>
      </c>
      <c r="C65" s="217">
        <v>0.1</v>
      </c>
      <c r="D65" s="73">
        <f t="shared" si="18"/>
        <v>5.22</v>
      </c>
      <c r="E65" s="187"/>
      <c r="F65" s="187"/>
    </row>
    <row r="66" spans="1:6" ht="15">
      <c r="A66" s="191" t="s">
        <v>123</v>
      </c>
      <c r="B66" s="217">
        <f t="shared" si="17"/>
        <v>93.63</v>
      </c>
      <c r="C66" s="217">
        <v>0.1</v>
      </c>
      <c r="D66" s="73">
        <f t="shared" si="18"/>
        <v>9.36</v>
      </c>
      <c r="E66" s="187"/>
      <c r="F66" s="187"/>
    </row>
    <row r="67" spans="1:6" ht="15">
      <c r="A67" s="191" t="s">
        <v>124</v>
      </c>
      <c r="B67" s="217">
        <f t="shared" si="17"/>
        <v>23.16</v>
      </c>
      <c r="C67" s="217">
        <v>0.1</v>
      </c>
      <c r="D67" s="73">
        <f t="shared" si="18"/>
        <v>2.32</v>
      </c>
      <c r="E67" s="187"/>
      <c r="F67" s="187"/>
    </row>
    <row r="68" spans="1:6" ht="15">
      <c r="A68" s="191" t="s">
        <v>125</v>
      </c>
      <c r="B68" s="217">
        <f t="shared" si="17"/>
        <v>49.32</v>
      </c>
      <c r="C68" s="217">
        <v>0.1</v>
      </c>
      <c r="D68" s="73">
        <f t="shared" si="18"/>
        <v>4.93</v>
      </c>
      <c r="E68" s="187"/>
      <c r="F68" s="187"/>
    </row>
    <row r="69" spans="1:6" ht="15">
      <c r="A69" s="191" t="s">
        <v>116</v>
      </c>
      <c r="B69" s="217">
        <f t="shared" si="17"/>
        <v>116.96</v>
      </c>
      <c r="C69" s="217">
        <v>0.1</v>
      </c>
      <c r="D69" s="73">
        <f t="shared" si="18"/>
        <v>11.7</v>
      </c>
      <c r="E69" s="187"/>
      <c r="F69" s="187"/>
    </row>
    <row r="70" spans="1:6" ht="15">
      <c r="A70" s="191" t="s">
        <v>117</v>
      </c>
      <c r="B70" s="217">
        <f t="shared" si="17"/>
        <v>25.46</v>
      </c>
      <c r="C70" s="217">
        <v>0.1</v>
      </c>
      <c r="D70" s="73">
        <f t="shared" si="18"/>
        <v>2.55</v>
      </c>
      <c r="E70" s="187"/>
      <c r="F70" s="187"/>
    </row>
    <row r="71" spans="1:6" ht="15">
      <c r="A71" s="191" t="s">
        <v>118</v>
      </c>
      <c r="B71" s="217">
        <f t="shared" si="17"/>
        <v>48.39</v>
      </c>
      <c r="C71" s="217">
        <v>0.1</v>
      </c>
      <c r="D71" s="73">
        <f t="shared" si="18"/>
        <v>4.84</v>
      </c>
      <c r="E71" s="187"/>
      <c r="F71" s="187"/>
    </row>
    <row r="72" spans="1:6" ht="15">
      <c r="A72" s="191"/>
      <c r="B72" s="218"/>
      <c r="C72" s="218"/>
      <c r="D72" s="218"/>
      <c r="E72" s="216"/>
      <c r="F72" s="216"/>
    </row>
    <row r="73" spans="1:6" ht="15">
      <c r="A73" s="327" t="s">
        <v>64</v>
      </c>
      <c r="B73" s="328"/>
      <c r="C73" s="328"/>
      <c r="D73" s="81">
        <f>SUM(D59:D72)</f>
        <v>134.47</v>
      </c>
      <c r="E73" s="256"/>
      <c r="F73" s="256"/>
    </row>
    <row r="75" spans="1:6" ht="15">
      <c r="A75" s="327" t="s">
        <v>90</v>
      </c>
      <c r="B75" s="328"/>
      <c r="C75" s="328"/>
      <c r="D75" s="76">
        <f>D73+D54</f>
        <v>806.82</v>
      </c>
      <c r="E75" s="255"/>
      <c r="F75" s="255"/>
    </row>
    <row r="78" spans="1:8" ht="15">
      <c r="A78" s="326" t="s">
        <v>78</v>
      </c>
      <c r="B78" s="326"/>
      <c r="C78" s="326"/>
      <c r="D78" s="326"/>
      <c r="E78" s="326"/>
      <c r="F78" s="326"/>
      <c r="G78" s="326"/>
      <c r="H78" s="326"/>
    </row>
    <row r="79" spans="1:8" ht="15">
      <c r="A79" s="77" t="s">
        <v>56</v>
      </c>
      <c r="B79" s="79" t="s">
        <v>79</v>
      </c>
      <c r="C79" s="80" t="s">
        <v>80</v>
      </c>
      <c r="D79" s="79" t="s">
        <v>83</v>
      </c>
      <c r="E79" s="249"/>
      <c r="F79" s="249"/>
      <c r="G79" s="79" t="s">
        <v>81</v>
      </c>
      <c r="H79" s="79" t="s">
        <v>82</v>
      </c>
    </row>
    <row r="80" spans="1:10" ht="15">
      <c r="A80" s="191" t="s">
        <v>111</v>
      </c>
      <c r="B80" s="73">
        <f>C16</f>
        <v>9.3</v>
      </c>
      <c r="C80" s="73">
        <v>3</v>
      </c>
      <c r="D80" s="73">
        <f>((B80/0.4)/2)*0.4*C80</f>
        <v>13.95</v>
      </c>
      <c r="E80" s="217"/>
      <c r="F80" s="217"/>
      <c r="G80" s="73">
        <v>1</v>
      </c>
      <c r="H80" s="73">
        <f>D80*G80</f>
        <v>13.95</v>
      </c>
      <c r="J80" s="195"/>
    </row>
    <row r="81" spans="1:10" ht="15">
      <c r="A81" s="191" t="s">
        <v>112</v>
      </c>
      <c r="B81" s="217">
        <f>C17</f>
        <v>8.12</v>
      </c>
      <c r="C81" s="73">
        <v>3</v>
      </c>
      <c r="D81" s="73">
        <f>((B81/0.4)/2)*0.4*C81</f>
        <v>12.18</v>
      </c>
      <c r="E81" s="217"/>
      <c r="F81" s="217"/>
      <c r="G81" s="73">
        <v>1</v>
      </c>
      <c r="H81" s="217">
        <f>D81*G81</f>
        <v>12.18</v>
      </c>
      <c r="J81" s="195"/>
    </row>
    <row r="82" spans="1:10" ht="15">
      <c r="A82" s="191" t="s">
        <v>113</v>
      </c>
      <c r="B82" s="217">
        <f>C18</f>
        <v>7.76</v>
      </c>
      <c r="C82" s="73">
        <v>3</v>
      </c>
      <c r="D82" s="73">
        <f aca="true" t="shared" si="19" ref="D82:D88">((B82/0.4)/2)*0.4*C82</f>
        <v>11.64</v>
      </c>
      <c r="E82" s="217"/>
      <c r="F82" s="217"/>
      <c r="G82" s="73">
        <v>0</v>
      </c>
      <c r="H82" s="217">
        <f aca="true" t="shared" si="20" ref="H82:H92">D82*G82</f>
        <v>0</v>
      </c>
      <c r="J82" s="195"/>
    </row>
    <row r="83" spans="1:10" ht="15">
      <c r="A83" s="191" t="s">
        <v>114</v>
      </c>
      <c r="B83" s="217">
        <f>C19</f>
        <v>7.74</v>
      </c>
      <c r="C83" s="193">
        <v>3</v>
      </c>
      <c r="D83" s="193">
        <f t="shared" si="19"/>
        <v>11.61</v>
      </c>
      <c r="E83" s="217"/>
      <c r="F83" s="217"/>
      <c r="G83" s="193">
        <v>0</v>
      </c>
      <c r="H83" s="217">
        <f t="shared" si="20"/>
        <v>0</v>
      </c>
      <c r="J83" s="195"/>
    </row>
    <row r="84" spans="1:10" ht="15">
      <c r="A84" s="191" t="s">
        <v>119</v>
      </c>
      <c r="B84" s="217">
        <f>C20</f>
        <v>7</v>
      </c>
      <c r="C84" s="73">
        <v>3</v>
      </c>
      <c r="D84" s="73">
        <f t="shared" si="19"/>
        <v>10.5</v>
      </c>
      <c r="E84" s="217"/>
      <c r="F84" s="217"/>
      <c r="G84" s="73">
        <v>1</v>
      </c>
      <c r="H84" s="217">
        <f t="shared" si="20"/>
        <v>10.5</v>
      </c>
      <c r="J84" s="195"/>
    </row>
    <row r="85" spans="1:10" ht="15">
      <c r="A85" s="191" t="s">
        <v>120</v>
      </c>
      <c r="B85" s="217">
        <f>C21</f>
        <v>7.6</v>
      </c>
      <c r="C85" s="73">
        <v>3</v>
      </c>
      <c r="D85" s="73">
        <f t="shared" si="19"/>
        <v>11.4</v>
      </c>
      <c r="E85" s="217"/>
      <c r="F85" s="217"/>
      <c r="G85" s="73">
        <v>0</v>
      </c>
      <c r="H85" s="217">
        <f t="shared" si="20"/>
        <v>0</v>
      </c>
      <c r="J85" s="195"/>
    </row>
    <row r="86" spans="1:10" ht="15">
      <c r="A86" s="191" t="s">
        <v>115</v>
      </c>
      <c r="B86" s="217">
        <f>C22</f>
        <v>3.05</v>
      </c>
      <c r="C86" s="73">
        <v>3</v>
      </c>
      <c r="D86" s="73">
        <f aca="true" t="shared" si="21" ref="D86">((B86/0.4)/2)*0.4*C86</f>
        <v>4.58</v>
      </c>
      <c r="E86" s="217"/>
      <c r="F86" s="217"/>
      <c r="G86" s="73">
        <v>0</v>
      </c>
      <c r="H86" s="217">
        <f t="shared" si="20"/>
        <v>0</v>
      </c>
      <c r="J86" s="195"/>
    </row>
    <row r="87" spans="1:10" ht="15">
      <c r="A87" s="191" t="s">
        <v>123</v>
      </c>
      <c r="B87" s="217">
        <f>C23</f>
        <v>7.28</v>
      </c>
      <c r="C87" s="73">
        <v>3</v>
      </c>
      <c r="D87" s="73">
        <f t="shared" si="19"/>
        <v>10.92</v>
      </c>
      <c r="E87" s="217"/>
      <c r="F87" s="217"/>
      <c r="G87" s="73">
        <v>0</v>
      </c>
      <c r="H87" s="217">
        <f t="shared" si="20"/>
        <v>0</v>
      </c>
      <c r="J87" s="195"/>
    </row>
    <row r="88" spans="1:10" ht="15">
      <c r="A88" s="191" t="s">
        <v>124</v>
      </c>
      <c r="B88" s="217">
        <f>C24</f>
        <v>7.23</v>
      </c>
      <c r="C88" s="73">
        <v>3</v>
      </c>
      <c r="D88" s="73">
        <f t="shared" si="19"/>
        <v>10.85</v>
      </c>
      <c r="E88" s="217"/>
      <c r="F88" s="217"/>
      <c r="G88" s="73">
        <v>1</v>
      </c>
      <c r="H88" s="217">
        <f t="shared" si="20"/>
        <v>10.85</v>
      </c>
      <c r="J88" s="195"/>
    </row>
    <row r="89" spans="1:10" ht="15">
      <c r="A89" s="191" t="s">
        <v>125</v>
      </c>
      <c r="B89" s="217">
        <f>C25</f>
        <v>6.95</v>
      </c>
      <c r="C89" s="73">
        <v>3</v>
      </c>
      <c r="D89" s="73">
        <f aca="true" t="shared" si="22" ref="D89:D92">((B89/0.4)/2)*0.4*C89</f>
        <v>10.43</v>
      </c>
      <c r="E89" s="219"/>
      <c r="F89" s="219"/>
      <c r="G89" s="96">
        <v>0</v>
      </c>
      <c r="H89" s="217">
        <f t="shared" si="20"/>
        <v>0</v>
      </c>
      <c r="J89" s="195"/>
    </row>
    <row r="90" spans="1:10" ht="15">
      <c r="A90" s="191" t="s">
        <v>116</v>
      </c>
      <c r="B90" s="217">
        <f>C26</f>
        <v>7.21</v>
      </c>
      <c r="C90" s="73">
        <v>3</v>
      </c>
      <c r="D90" s="73">
        <f t="shared" si="22"/>
        <v>10.82</v>
      </c>
      <c r="E90" s="219"/>
      <c r="F90" s="219"/>
      <c r="G90" s="96">
        <v>0</v>
      </c>
      <c r="H90" s="217">
        <f t="shared" si="20"/>
        <v>0</v>
      </c>
      <c r="J90" s="195"/>
    </row>
    <row r="91" spans="1:10" ht="15">
      <c r="A91" s="191" t="s">
        <v>117</v>
      </c>
      <c r="B91" s="217">
        <f>C27</f>
        <v>6.02</v>
      </c>
      <c r="C91" s="73">
        <v>3</v>
      </c>
      <c r="D91" s="73">
        <f t="shared" si="22"/>
        <v>9.03</v>
      </c>
      <c r="E91" s="219"/>
      <c r="F91" s="219"/>
      <c r="G91" s="96">
        <v>0</v>
      </c>
      <c r="H91" s="217">
        <f t="shared" si="20"/>
        <v>0</v>
      </c>
      <c r="J91" s="195"/>
    </row>
    <row r="92" spans="1:10" ht="15">
      <c r="A92" s="191" t="s">
        <v>118</v>
      </c>
      <c r="B92" s="217">
        <f>C28</f>
        <v>6.97</v>
      </c>
      <c r="C92" s="73">
        <v>3</v>
      </c>
      <c r="D92" s="73">
        <f t="shared" si="22"/>
        <v>10.46</v>
      </c>
      <c r="E92" s="219"/>
      <c r="F92" s="219"/>
      <c r="G92" s="96">
        <v>1</v>
      </c>
      <c r="H92" s="217">
        <f t="shared" si="20"/>
        <v>10.46</v>
      </c>
      <c r="J92" s="195"/>
    </row>
    <row r="93" spans="1:10" ht="15">
      <c r="A93" s="82"/>
      <c r="B93" s="95"/>
      <c r="C93" s="95"/>
      <c r="D93" s="95"/>
      <c r="E93" s="95"/>
      <c r="F93" s="95"/>
      <c r="G93" s="96"/>
      <c r="H93" s="73"/>
      <c r="J93" s="195"/>
    </row>
    <row r="94" spans="1:10" ht="15">
      <c r="A94" s="327" t="s">
        <v>64</v>
      </c>
      <c r="B94" s="328"/>
      <c r="C94" s="328"/>
      <c r="D94" s="328"/>
      <c r="E94" s="251"/>
      <c r="F94" s="251"/>
      <c r="G94" s="194">
        <f>SUM(G80:G92)</f>
        <v>5</v>
      </c>
      <c r="H94" s="81">
        <f>SUM(H80:H92)</f>
        <v>57.94</v>
      </c>
      <c r="J94" s="195"/>
    </row>
    <row r="95" spans="7:10" ht="15">
      <c r="G95" s="192"/>
      <c r="J95" s="195"/>
    </row>
    <row r="96" ht="15">
      <c r="J96" s="195"/>
    </row>
  </sheetData>
  <mergeCells count="10">
    <mergeCell ref="A94:D94"/>
    <mergeCell ref="C9:D9"/>
    <mergeCell ref="A78:H78"/>
    <mergeCell ref="A73:C73"/>
    <mergeCell ref="A12:I12"/>
    <mergeCell ref="A54:C54"/>
    <mergeCell ref="A38:D38"/>
    <mergeCell ref="A57:D57"/>
    <mergeCell ref="A75:C75"/>
    <mergeCell ref="A33:D33"/>
  </mergeCells>
  <printOptions horizontalCentered="1"/>
  <pageMargins left="0.5118110236220472" right="0.5118110236220472" top="1.3779527559055118" bottom="0.7874015748031497" header="0.31496062992125984" footer="0.31496062992125984"/>
  <pageSetup horizontalDpi="600" verticalDpi="600" orientation="portrait" paperSize="9" scale="55" r:id="rId2"/>
  <headerFooter>
    <oddFooter>&amp;CRua Augusto Zacarias da Silva, 10 Centro  - Fone/Fax (87) 3884- 1156CEP- 56950-000 – CNPJ – 10.280.055/0001-56 – SÃO JOSÉ DO BELMONTE - PE</oddFooter>
  </headerFooter>
  <rowBreaks count="5" manualBreakCount="5">
    <brk id="36" max="16383" man="1"/>
    <brk id="55" max="16383" man="1"/>
    <brk id="76" max="16383" man="1"/>
    <brk id="95" max="16383" man="1"/>
    <brk id="9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K56"/>
  <sheetViews>
    <sheetView view="pageLayout" zoomScaleSheetLayoutView="90" workbookViewId="0" topLeftCell="A101">
      <selection activeCell="C55" sqref="C55"/>
    </sheetView>
  </sheetViews>
  <sheetFormatPr defaultColWidth="9.140625" defaultRowHeight="15"/>
  <cols>
    <col min="1" max="1" width="10.421875" style="160" customWidth="1"/>
    <col min="2" max="2" width="56.8515625" style="160" customWidth="1"/>
    <col min="3" max="3" width="19.57421875" style="160" customWidth="1"/>
    <col min="4" max="4" width="16.28125" style="160" customWidth="1"/>
    <col min="5" max="5" width="15.8515625" style="160" customWidth="1"/>
    <col min="6" max="7" width="15.7109375" style="160" customWidth="1"/>
    <col min="8" max="8" width="17.8515625" style="2" customWidth="1"/>
    <col min="9" max="9" width="9.140625" style="161" customWidth="1"/>
    <col min="10" max="10" width="20.7109375" style="161" customWidth="1"/>
    <col min="11" max="11" width="9.140625" style="161" customWidth="1"/>
    <col min="12" max="16384" width="9.140625" style="161" customWidth="1"/>
  </cols>
  <sheetData>
    <row r="1" ht="15"/>
    <row r="2" ht="15"/>
    <row r="3" ht="15"/>
    <row r="4" ht="15"/>
    <row r="5" ht="15"/>
    <row r="6" spans="1:11" ht="22.8">
      <c r="A6" s="181" t="str">
        <f>PLANILHA!A7</f>
        <v>APLICAÇÃO DE REVESTIMENTO ASFALTICO (CBUQ) SOBRE PARALELEPIPEDO EM DIVERSAS RUAS</v>
      </c>
      <c r="B6" s="181"/>
      <c r="C6" s="181"/>
      <c r="D6" s="181"/>
      <c r="E6" s="182"/>
      <c r="F6" s="182"/>
      <c r="G6" s="182"/>
      <c r="H6" s="10"/>
      <c r="I6" s="10"/>
      <c r="J6" s="10"/>
      <c r="K6" s="160"/>
    </row>
    <row r="7" spans="1:11" ht="20.25" customHeight="1">
      <c r="A7" s="155" t="str">
        <f>PLANILHA!A8</f>
        <v>MODALIDADE:  PAVIMENTAÇÃO E SINALIZAÇÃO HORIZONTAL</v>
      </c>
      <c r="B7" s="156"/>
      <c r="C7" s="156"/>
      <c r="D7" s="156"/>
      <c r="E7" s="182"/>
      <c r="F7" s="182"/>
      <c r="G7" s="182"/>
      <c r="H7" s="9"/>
      <c r="I7" s="9"/>
      <c r="J7" s="9"/>
      <c r="K7" s="160"/>
    </row>
    <row r="8" spans="1:11" ht="17.25" customHeight="1">
      <c r="A8" s="156" t="str">
        <f>PLANILHA!A9</f>
        <v>FASE : ÚNICA</v>
      </c>
      <c r="B8" s="156"/>
      <c r="C8" s="343"/>
      <c r="D8" s="343"/>
      <c r="E8" s="182"/>
      <c r="F8" s="182"/>
      <c r="G8" s="182"/>
      <c r="H8" s="162"/>
      <c r="I8" s="162"/>
      <c r="J8" s="162"/>
      <c r="K8" s="160"/>
    </row>
    <row r="9" spans="1:11" ht="15" customHeight="1">
      <c r="A9" s="157" t="str">
        <f>PLANILHA!A10</f>
        <v>LOCAL: VERDEJANTE - PE</v>
      </c>
      <c r="B9" s="163"/>
      <c r="C9" s="158" t="str">
        <f>PLANILHA!F10</f>
        <v>DATA : JUNHO/2021</v>
      </c>
      <c r="D9" s="158" t="str">
        <f>PLANILHA!H10</f>
        <v>REVISÃO: JUNHO/2021</v>
      </c>
      <c r="E9" s="180"/>
      <c r="F9" s="180"/>
      <c r="G9" s="180"/>
      <c r="H9" s="162"/>
      <c r="I9" s="162"/>
      <c r="J9" s="164"/>
      <c r="K9" s="160"/>
    </row>
    <row r="10" spans="1:11" ht="17.25" customHeight="1">
      <c r="A10" s="178" t="str">
        <f>PLANILHA!A11</f>
        <v>BAIRRO: CENTRO</v>
      </c>
      <c r="B10" s="156"/>
      <c r="C10" s="159" t="str">
        <f>PLANILHA!H11</f>
        <v>SINAPI ABRIL/2021 E SEINFRA 027.1</v>
      </c>
      <c r="D10" s="179"/>
      <c r="E10" s="165"/>
      <c r="F10" s="165"/>
      <c r="G10" s="165"/>
      <c r="H10" s="162"/>
      <c r="I10" s="162"/>
      <c r="J10" s="162"/>
      <c r="K10" s="160"/>
    </row>
    <row r="11" spans="1:11" ht="16.5" customHeight="1">
      <c r="A11" s="345" t="s">
        <v>43</v>
      </c>
      <c r="B11" s="345"/>
      <c r="C11" s="345"/>
      <c r="D11" s="345"/>
      <c r="E11" s="345"/>
      <c r="F11" s="345"/>
      <c r="G11" s="345"/>
      <c r="H11" s="162"/>
      <c r="I11" s="162"/>
      <c r="J11" s="166"/>
      <c r="K11" s="160"/>
    </row>
    <row r="12" spans="1:11" ht="15">
      <c r="A12" s="346"/>
      <c r="B12" s="346"/>
      <c r="C12" s="346"/>
      <c r="D12" s="346"/>
      <c r="E12" s="346"/>
      <c r="F12" s="346"/>
      <c r="G12" s="346"/>
      <c r="H12" s="1"/>
      <c r="I12" s="160"/>
      <c r="J12" s="160"/>
      <c r="K12" s="160"/>
    </row>
    <row r="13" spans="1:7" ht="15">
      <c r="A13" s="344"/>
      <c r="B13" s="344"/>
      <c r="C13" s="101" t="s">
        <v>17</v>
      </c>
      <c r="D13" s="101" t="s">
        <v>86</v>
      </c>
      <c r="E13" s="101" t="s">
        <v>87</v>
      </c>
      <c r="F13" s="101" t="s">
        <v>88</v>
      </c>
      <c r="G13" s="101" t="s">
        <v>89</v>
      </c>
    </row>
    <row r="14" spans="1:9" ht="15">
      <c r="A14" s="331" t="s">
        <v>5</v>
      </c>
      <c r="B14" s="332" t="str">
        <f>PLANILHA!C14</f>
        <v>SERVIÇOS PRELIMINARES</v>
      </c>
      <c r="C14" s="333">
        <f>PLANILHA!I14</f>
        <v>2207.46</v>
      </c>
      <c r="D14" s="167">
        <f>$C14*D15</f>
        <v>1545.22</v>
      </c>
      <c r="E14" s="167">
        <f>$C14*E15</f>
        <v>662.24</v>
      </c>
      <c r="F14" s="167">
        <f>$C14*F15</f>
        <v>0</v>
      </c>
      <c r="G14" s="167">
        <f>$C14*G15</f>
        <v>0</v>
      </c>
      <c r="I14" s="168"/>
    </row>
    <row r="15" spans="1:9" ht="15">
      <c r="A15" s="331"/>
      <c r="B15" s="332"/>
      <c r="C15" s="334"/>
      <c r="D15" s="169">
        <v>0.7</v>
      </c>
      <c r="E15" s="169">
        <v>0.3</v>
      </c>
      <c r="F15" s="169"/>
      <c r="G15" s="169"/>
      <c r="I15" s="168"/>
    </row>
    <row r="16" spans="1:9" ht="15.6">
      <c r="A16" s="331"/>
      <c r="B16" s="332"/>
      <c r="C16" s="335"/>
      <c r="D16" s="170"/>
      <c r="E16" s="170"/>
      <c r="F16" s="170"/>
      <c r="G16" s="170"/>
      <c r="I16" s="168"/>
    </row>
    <row r="17" spans="1:10" ht="15">
      <c r="A17" s="331" t="s">
        <v>6</v>
      </c>
      <c r="B17" s="332" t="str">
        <f>PLANILHA!C17</f>
        <v>CBUQ</v>
      </c>
      <c r="C17" s="333">
        <f>PLANILHA!I17</f>
        <v>743472.65</v>
      </c>
      <c r="D17" s="167">
        <f>$C17*D18</f>
        <v>0</v>
      </c>
      <c r="E17" s="167">
        <f>$C17*E18</f>
        <v>371736.33</v>
      </c>
      <c r="F17" s="167">
        <f>$C17*F18</f>
        <v>371736.33</v>
      </c>
      <c r="G17" s="167">
        <f>$C17*G18</f>
        <v>0</v>
      </c>
      <c r="I17" s="168"/>
      <c r="J17" s="171"/>
    </row>
    <row r="18" spans="1:10" ht="15">
      <c r="A18" s="331"/>
      <c r="B18" s="332"/>
      <c r="C18" s="334"/>
      <c r="D18" s="169"/>
      <c r="E18" s="169">
        <v>0.5</v>
      </c>
      <c r="F18" s="169">
        <v>0.5</v>
      </c>
      <c r="G18" s="169"/>
      <c r="I18" s="168"/>
      <c r="J18" s="171"/>
    </row>
    <row r="19" spans="1:10" ht="15.6">
      <c r="A19" s="331"/>
      <c r="B19" s="332"/>
      <c r="C19" s="335"/>
      <c r="D19" s="170"/>
      <c r="E19" s="170"/>
      <c r="F19" s="170"/>
      <c r="G19" s="170"/>
      <c r="I19" s="168"/>
      <c r="J19" s="171"/>
    </row>
    <row r="20" spans="1:10" ht="17.25" customHeight="1">
      <c r="A20" s="331" t="s">
        <v>7</v>
      </c>
      <c r="B20" s="332" t="str">
        <f>PLANILHA!C22</f>
        <v>SINALIZAÇÃO HORIZONTAL</v>
      </c>
      <c r="C20" s="333">
        <f>PLANILHA!I22</f>
        <v>17113.6</v>
      </c>
      <c r="D20" s="167">
        <f>$C20*D21</f>
        <v>0</v>
      </c>
      <c r="E20" s="167">
        <f>$C20*E21</f>
        <v>0</v>
      </c>
      <c r="F20" s="167">
        <f>$C20*F21</f>
        <v>11979.52</v>
      </c>
      <c r="G20" s="167">
        <f>$C20*G21</f>
        <v>5134.08</v>
      </c>
      <c r="I20" s="168"/>
      <c r="J20" s="171"/>
    </row>
    <row r="21" spans="1:10" ht="17.25" customHeight="1">
      <c r="A21" s="331"/>
      <c r="B21" s="332"/>
      <c r="C21" s="334"/>
      <c r="D21" s="169"/>
      <c r="E21" s="169"/>
      <c r="F21" s="169">
        <v>0.7</v>
      </c>
      <c r="G21" s="169">
        <v>0.3</v>
      </c>
      <c r="I21" s="168"/>
      <c r="J21" s="171"/>
    </row>
    <row r="22" spans="1:10" ht="15.6">
      <c r="A22" s="331"/>
      <c r="B22" s="332"/>
      <c r="C22" s="335"/>
      <c r="D22" s="170"/>
      <c r="E22" s="170"/>
      <c r="F22" s="170"/>
      <c r="G22" s="170"/>
      <c r="I22" s="168"/>
      <c r="J22" s="171"/>
    </row>
    <row r="23" spans="1:10" ht="16.5" customHeight="1" hidden="1">
      <c r="A23" s="331"/>
      <c r="B23" s="332"/>
      <c r="C23" s="333"/>
      <c r="D23" s="167"/>
      <c r="E23" s="167"/>
      <c r="F23" s="167"/>
      <c r="G23" s="167"/>
      <c r="I23" s="168"/>
      <c r="J23" s="171"/>
    </row>
    <row r="24" spans="1:10" ht="16.5" customHeight="1" hidden="1">
      <c r="A24" s="331"/>
      <c r="B24" s="332"/>
      <c r="C24" s="334"/>
      <c r="D24" s="169"/>
      <c r="E24" s="169"/>
      <c r="F24" s="169"/>
      <c r="G24" s="169"/>
      <c r="I24" s="168"/>
      <c r="J24" s="171"/>
    </row>
    <row r="25" spans="1:9" ht="17.25" customHeight="1" hidden="1">
      <c r="A25" s="331"/>
      <c r="B25" s="332"/>
      <c r="C25" s="335"/>
      <c r="D25" s="170"/>
      <c r="E25" s="170"/>
      <c r="F25" s="170"/>
      <c r="G25" s="170"/>
      <c r="I25" s="168"/>
    </row>
    <row r="26" spans="1:9" ht="17.25" customHeight="1" hidden="1">
      <c r="A26" s="331" t="s">
        <v>11</v>
      </c>
      <c r="B26" s="332"/>
      <c r="C26" s="333"/>
      <c r="D26" s="3">
        <f>$C26*D27</f>
        <v>0</v>
      </c>
      <c r="E26" s="3">
        <f>$C26*E27</f>
        <v>0</v>
      </c>
      <c r="F26" s="3">
        <f>$C26*F27</f>
        <v>0</v>
      </c>
      <c r="G26" s="3">
        <f>$C26*G27</f>
        <v>0</v>
      </c>
      <c r="I26" s="168"/>
    </row>
    <row r="27" spans="1:9" ht="17.25" customHeight="1" hidden="1">
      <c r="A27" s="331"/>
      <c r="B27" s="332"/>
      <c r="C27" s="334"/>
      <c r="D27" s="68"/>
      <c r="E27" s="68"/>
      <c r="F27" s="68"/>
      <c r="G27" s="68"/>
      <c r="I27" s="168"/>
    </row>
    <row r="28" spans="1:9" ht="15.6" hidden="1">
      <c r="A28" s="331"/>
      <c r="B28" s="332"/>
      <c r="C28" s="335"/>
      <c r="D28" s="172"/>
      <c r="E28" s="172"/>
      <c r="F28" s="172"/>
      <c r="G28" s="172"/>
      <c r="I28" s="168"/>
    </row>
    <row r="29" spans="1:9" ht="18" customHeight="1" hidden="1">
      <c r="A29" s="338" t="s">
        <v>12</v>
      </c>
      <c r="B29" s="340"/>
      <c r="C29" s="333"/>
      <c r="D29" s="3">
        <f>$C29*D30</f>
        <v>0</v>
      </c>
      <c r="E29" s="3">
        <f>$C29*E30</f>
        <v>0</v>
      </c>
      <c r="F29" s="3">
        <f>$C29*F30</f>
        <v>0</v>
      </c>
      <c r="G29" s="3">
        <f>$C29*G30</f>
        <v>0</v>
      </c>
      <c r="I29" s="168"/>
    </row>
    <row r="30" spans="1:9" ht="18" customHeight="1" hidden="1">
      <c r="A30" s="339"/>
      <c r="B30" s="341"/>
      <c r="C30" s="334"/>
      <c r="D30" s="68"/>
      <c r="E30" s="68"/>
      <c r="F30" s="68"/>
      <c r="G30" s="68"/>
      <c r="I30" s="168"/>
    </row>
    <row r="31" spans="1:9" ht="15.6" hidden="1">
      <c r="A31" s="336"/>
      <c r="B31" s="342"/>
      <c r="C31" s="335"/>
      <c r="D31" s="172"/>
      <c r="E31" s="172"/>
      <c r="F31" s="172"/>
      <c r="G31" s="172"/>
      <c r="H31" s="47"/>
      <c r="I31" s="168"/>
    </row>
    <row r="32" spans="1:9" ht="16.5" customHeight="1" hidden="1">
      <c r="A32" s="336" t="s">
        <v>13</v>
      </c>
      <c r="B32" s="337"/>
      <c r="C32" s="333"/>
      <c r="D32" s="3">
        <f>$C32*D33</f>
        <v>0</v>
      </c>
      <c r="E32" s="3">
        <f>$C32*E33</f>
        <v>0</v>
      </c>
      <c r="F32" s="3">
        <f>$C32*F33</f>
        <v>0</v>
      </c>
      <c r="G32" s="3">
        <f>$C32*G33</f>
        <v>0</v>
      </c>
      <c r="I32" s="168"/>
    </row>
    <row r="33" spans="1:9" ht="16.5" customHeight="1" hidden="1">
      <c r="A33" s="336"/>
      <c r="B33" s="337"/>
      <c r="C33" s="334"/>
      <c r="D33" s="68"/>
      <c r="E33" s="68"/>
      <c r="F33" s="68"/>
      <c r="G33" s="68"/>
      <c r="I33" s="168"/>
    </row>
    <row r="34" spans="1:9" ht="15.6" hidden="1">
      <c r="A34" s="331"/>
      <c r="B34" s="332"/>
      <c r="C34" s="335"/>
      <c r="D34" s="172"/>
      <c r="E34" s="172"/>
      <c r="F34" s="172"/>
      <c r="G34" s="172"/>
      <c r="I34" s="168"/>
    </row>
    <row r="35" spans="1:9" ht="17.25" customHeight="1" hidden="1">
      <c r="A35" s="331" t="s">
        <v>14</v>
      </c>
      <c r="B35" s="332"/>
      <c r="C35" s="333"/>
      <c r="D35" s="3">
        <f>$C35*D36</f>
        <v>0</v>
      </c>
      <c r="E35" s="3">
        <f>$C35*E36</f>
        <v>0</v>
      </c>
      <c r="F35" s="3">
        <f>$C35*F36</f>
        <v>0</v>
      </c>
      <c r="G35" s="3">
        <f>$C35*G36</f>
        <v>0</v>
      </c>
      <c r="I35" s="168"/>
    </row>
    <row r="36" spans="1:9" ht="17.25" customHeight="1" hidden="1">
      <c r="A36" s="331"/>
      <c r="B36" s="332"/>
      <c r="C36" s="334"/>
      <c r="D36" s="68"/>
      <c r="E36" s="68"/>
      <c r="F36" s="68"/>
      <c r="G36" s="68"/>
      <c r="I36" s="168"/>
    </row>
    <row r="37" spans="1:9" ht="15.6" hidden="1">
      <c r="A37" s="331"/>
      <c r="B37" s="332"/>
      <c r="C37" s="335"/>
      <c r="D37" s="172"/>
      <c r="E37" s="172"/>
      <c r="F37" s="172"/>
      <c r="G37" s="172"/>
      <c r="I37" s="168"/>
    </row>
    <row r="38" spans="1:9" ht="17.25" customHeight="1" hidden="1">
      <c r="A38" s="331" t="s">
        <v>15</v>
      </c>
      <c r="B38" s="332"/>
      <c r="C38" s="333"/>
      <c r="D38" s="3">
        <f>$C38*D39</f>
        <v>0</v>
      </c>
      <c r="E38" s="3">
        <f>$C38*E39</f>
        <v>0</v>
      </c>
      <c r="F38" s="3">
        <f>$C38*F39</f>
        <v>0</v>
      </c>
      <c r="G38" s="3">
        <f>$C38*G39</f>
        <v>0</v>
      </c>
      <c r="I38" s="168"/>
    </row>
    <row r="39" spans="1:9" ht="17.25" customHeight="1" hidden="1">
      <c r="A39" s="331"/>
      <c r="B39" s="332"/>
      <c r="C39" s="334"/>
      <c r="D39" s="68"/>
      <c r="E39" s="68"/>
      <c r="F39" s="68"/>
      <c r="G39" s="68"/>
      <c r="I39" s="168"/>
    </row>
    <row r="40" spans="1:9" ht="15.6" hidden="1">
      <c r="A40" s="331"/>
      <c r="B40" s="332"/>
      <c r="C40" s="335"/>
      <c r="D40" s="172"/>
      <c r="E40" s="172"/>
      <c r="F40" s="172"/>
      <c r="G40" s="172"/>
      <c r="I40" s="168"/>
    </row>
    <row r="41" spans="1:9" ht="18" customHeight="1" hidden="1">
      <c r="A41" s="331" t="s">
        <v>95</v>
      </c>
      <c r="B41" s="332"/>
      <c r="C41" s="333"/>
      <c r="D41" s="3">
        <f>$C41*D42</f>
        <v>0</v>
      </c>
      <c r="E41" s="3">
        <f>$C41*E42</f>
        <v>0</v>
      </c>
      <c r="F41" s="3">
        <f>$C41*F42</f>
        <v>0</v>
      </c>
      <c r="G41" s="3">
        <f>$C41*G42</f>
        <v>0</v>
      </c>
      <c r="I41" s="168"/>
    </row>
    <row r="42" spans="1:9" ht="18" customHeight="1" hidden="1">
      <c r="A42" s="331"/>
      <c r="B42" s="332"/>
      <c r="C42" s="334"/>
      <c r="D42" s="68"/>
      <c r="E42" s="68"/>
      <c r="F42" s="68"/>
      <c r="G42" s="68"/>
      <c r="I42" s="168"/>
    </row>
    <row r="43" spans="1:9" ht="15.6" hidden="1">
      <c r="A43" s="331"/>
      <c r="B43" s="332"/>
      <c r="C43" s="335"/>
      <c r="D43" s="172"/>
      <c r="E43" s="172"/>
      <c r="F43" s="172"/>
      <c r="G43" s="172"/>
      <c r="I43" s="168"/>
    </row>
    <row r="44" spans="1:9" ht="18" customHeight="1">
      <c r="A44" s="99"/>
      <c r="B44" s="48" t="s">
        <v>18</v>
      </c>
      <c r="C44" s="100">
        <f>SUM(C14:C40)</f>
        <v>762793.71</v>
      </c>
      <c r="D44" s="3"/>
      <c r="E44" s="3"/>
      <c r="F44" s="3"/>
      <c r="G44" s="68"/>
      <c r="I44" s="168"/>
    </row>
    <row r="45" spans="1:9" ht="19.5" customHeight="1">
      <c r="A45" s="329" t="s">
        <v>44</v>
      </c>
      <c r="B45" s="330"/>
      <c r="C45" s="46"/>
      <c r="D45" s="4">
        <f>D14+D17+D20</f>
        <v>1545.22</v>
      </c>
      <c r="E45" s="4">
        <f>E14+E17+E20</f>
        <v>372398.57</v>
      </c>
      <c r="F45" s="4">
        <f>F14+F17+F20</f>
        <v>383715.85</v>
      </c>
      <c r="G45" s="4">
        <f>G14+G17+G20</f>
        <v>5134.08</v>
      </c>
      <c r="I45" s="168"/>
    </row>
    <row r="46" spans="1:9" ht="17.25" customHeight="1">
      <c r="A46" s="329" t="s">
        <v>45</v>
      </c>
      <c r="B46" s="330"/>
      <c r="C46" s="5"/>
      <c r="D46" s="49">
        <f>D45</f>
        <v>1545.22</v>
      </c>
      <c r="E46" s="49">
        <f>E45+D46</f>
        <v>373943.79</v>
      </c>
      <c r="F46" s="49">
        <f aca="true" t="shared" si="0" ref="F46">F45+E46</f>
        <v>757659.64</v>
      </c>
      <c r="G46" s="49">
        <f>G45+F46-0.01</f>
        <v>762793.71</v>
      </c>
      <c r="I46" s="168"/>
    </row>
    <row r="47" spans="1:9" ht="18" customHeight="1">
      <c r="A47" s="329" t="s">
        <v>46</v>
      </c>
      <c r="B47" s="330"/>
      <c r="C47" s="6"/>
      <c r="D47" s="69">
        <f>D45/C44</f>
        <v>0</v>
      </c>
      <c r="E47" s="69">
        <f>E45/C44</f>
        <v>0.49</v>
      </c>
      <c r="F47" s="69">
        <f>F45/C44</f>
        <v>0.5</v>
      </c>
      <c r="G47" s="69">
        <f>G45/C44</f>
        <v>0.01</v>
      </c>
      <c r="I47" s="168"/>
    </row>
    <row r="48" spans="1:9" ht="18" customHeight="1">
      <c r="A48" s="329" t="s">
        <v>47</v>
      </c>
      <c r="B48" s="330"/>
      <c r="C48" s="6"/>
      <c r="D48" s="69">
        <f>D46/C44</f>
        <v>0</v>
      </c>
      <c r="E48" s="69">
        <f>E46/C44</f>
        <v>0.49</v>
      </c>
      <c r="F48" s="69">
        <f>F46/C44</f>
        <v>0.99</v>
      </c>
      <c r="G48" s="69">
        <f>G46/C44</f>
        <v>1</v>
      </c>
      <c r="I48" s="168"/>
    </row>
    <row r="49" spans="1:7" ht="15">
      <c r="A49" s="7"/>
      <c r="B49" s="7"/>
      <c r="C49" s="7"/>
      <c r="D49" s="7"/>
      <c r="E49" s="7"/>
      <c r="F49" s="7"/>
      <c r="G49" s="7"/>
    </row>
    <row r="50" spans="1:7" ht="15">
      <c r="A50" s="7"/>
      <c r="C50" s="7"/>
      <c r="D50" s="7"/>
      <c r="E50" s="7"/>
      <c r="F50" s="7"/>
      <c r="G50" s="7"/>
    </row>
    <row r="51" spans="1:7" ht="15">
      <c r="A51" s="7"/>
      <c r="C51" s="7"/>
      <c r="D51" s="7"/>
      <c r="E51" s="7"/>
      <c r="F51" s="7"/>
      <c r="G51" s="7"/>
    </row>
    <row r="52" spans="1:7" ht="15">
      <c r="A52" s="11"/>
      <c r="B52" s="173"/>
      <c r="C52" s="13"/>
      <c r="D52" s="173"/>
      <c r="E52" s="12"/>
      <c r="F52" s="174"/>
      <c r="G52" s="174"/>
    </row>
    <row r="53" spans="1:7" ht="15">
      <c r="A53" s="14"/>
      <c r="B53" s="175"/>
      <c r="C53" s="13"/>
      <c r="D53" s="175"/>
      <c r="E53" s="175"/>
      <c r="F53" s="175"/>
      <c r="G53" s="174"/>
    </row>
    <row r="54" spans="1:7" ht="15">
      <c r="A54" s="15"/>
      <c r="B54" s="176"/>
      <c r="C54" s="13"/>
      <c r="D54" s="176"/>
      <c r="E54" s="176"/>
      <c r="F54" s="176"/>
      <c r="G54" s="174"/>
    </row>
    <row r="55" spans="1:7" ht="15">
      <c r="A55" s="11"/>
      <c r="B55" s="173"/>
      <c r="C55" s="13"/>
      <c r="D55" s="176"/>
      <c r="E55" s="176"/>
      <c r="F55" s="176"/>
      <c r="G55" s="174"/>
    </row>
    <row r="56" spans="1:7" ht="15">
      <c r="A56" s="16"/>
      <c r="B56" s="17"/>
      <c r="C56" s="13"/>
      <c r="D56" s="8"/>
      <c r="E56" s="8"/>
      <c r="F56" s="8"/>
      <c r="G56" s="8"/>
    </row>
  </sheetData>
  <mergeCells count="38">
    <mergeCell ref="A23:A25"/>
    <mergeCell ref="B23:B25"/>
    <mergeCell ref="C23:C25"/>
    <mergeCell ref="C8:D8"/>
    <mergeCell ref="A13:B13"/>
    <mergeCell ref="A14:A16"/>
    <mergeCell ref="B14:B16"/>
    <mergeCell ref="C14:C16"/>
    <mergeCell ref="A20:A22"/>
    <mergeCell ref="B20:B22"/>
    <mergeCell ref="C20:C22"/>
    <mergeCell ref="A17:A19"/>
    <mergeCell ref="A11:G11"/>
    <mergeCell ref="A12:G12"/>
    <mergeCell ref="B17:B19"/>
    <mergeCell ref="C17:C19"/>
    <mergeCell ref="A26:A28"/>
    <mergeCell ref="B26:B28"/>
    <mergeCell ref="C26:C28"/>
    <mergeCell ref="A29:A31"/>
    <mergeCell ref="B29:B31"/>
    <mergeCell ref="C29:C31"/>
    <mergeCell ref="C38:C40"/>
    <mergeCell ref="A41:A43"/>
    <mergeCell ref="B41:B43"/>
    <mergeCell ref="C41:C43"/>
    <mergeCell ref="A32:A34"/>
    <mergeCell ref="B32:B34"/>
    <mergeCell ref="C32:C34"/>
    <mergeCell ref="A35:A37"/>
    <mergeCell ref="B35:B37"/>
    <mergeCell ref="C35:C37"/>
    <mergeCell ref="A45:B45"/>
    <mergeCell ref="A46:B46"/>
    <mergeCell ref="A47:B47"/>
    <mergeCell ref="A48:B48"/>
    <mergeCell ref="A38:A40"/>
    <mergeCell ref="B38:B40"/>
  </mergeCells>
  <conditionalFormatting sqref="D16:G16">
    <cfRule type="cellIs" priority="11" dxfId="3" operator="notEqual" stopIfTrue="1">
      <formula>D15</formula>
    </cfRule>
  </conditionalFormatting>
  <conditionalFormatting sqref="D19:G19">
    <cfRule type="cellIs" priority="10" dxfId="3" operator="notEqual" stopIfTrue="1">
      <formula>D18</formula>
    </cfRule>
  </conditionalFormatting>
  <conditionalFormatting sqref="D22:G22">
    <cfRule type="cellIs" priority="9" dxfId="3" operator="notEqual" stopIfTrue="1">
      <formula>D21</formula>
    </cfRule>
  </conditionalFormatting>
  <conditionalFormatting sqref="D25:G25">
    <cfRule type="cellIs" priority="7" dxfId="3" operator="notEqual" stopIfTrue="1">
      <formula>D24</formula>
    </cfRule>
  </conditionalFormatting>
  <conditionalFormatting sqref="D28:G28">
    <cfRule type="cellIs" priority="6" dxfId="3" operator="notEqual" stopIfTrue="1">
      <formula>D27</formula>
    </cfRule>
  </conditionalFormatting>
  <conditionalFormatting sqref="D31:G31">
    <cfRule type="cellIs" priority="5" dxfId="3" operator="notEqual" stopIfTrue="1">
      <formula>D30</formula>
    </cfRule>
  </conditionalFormatting>
  <conditionalFormatting sqref="D34:G34">
    <cfRule type="cellIs" priority="4" dxfId="3" operator="notEqual" stopIfTrue="1">
      <formula>D33</formula>
    </cfRule>
  </conditionalFormatting>
  <conditionalFormatting sqref="D37:G37">
    <cfRule type="cellIs" priority="3" dxfId="3" operator="notEqual" stopIfTrue="1">
      <formula>D36</formula>
    </cfRule>
  </conditionalFormatting>
  <conditionalFormatting sqref="D40:G40">
    <cfRule type="cellIs" priority="2" dxfId="3" operator="notEqual" stopIfTrue="1">
      <formula>D39</formula>
    </cfRule>
  </conditionalFormatting>
  <conditionalFormatting sqref="D43:G43">
    <cfRule type="cellIs" priority="1" dxfId="3" operator="notEqual" stopIfTrue="1">
      <formula>D42</formula>
    </cfRule>
  </conditionalFormatting>
  <printOptions horizontalCentered="1"/>
  <pageMargins left="0.31496062992125984" right="0.31496062992125984" top="1.968503937007874" bottom="0.7874015748031497" header="0.7086614173228347" footer="0.31496062992125984"/>
  <pageSetup horizontalDpi="600" verticalDpi="600" orientation="landscape" paperSize="9" scale="83" r:id="rId2"/>
  <headerFooter>
    <oddHeader>&amp;R&amp;P de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N34"/>
  <sheetViews>
    <sheetView view="pageLayout" zoomScaleSheetLayoutView="100" workbookViewId="0" topLeftCell="A31">
      <selection activeCell="C18" sqref="C18"/>
    </sheetView>
  </sheetViews>
  <sheetFormatPr defaultColWidth="9.140625" defaultRowHeight="15"/>
  <cols>
    <col min="1" max="1" width="13.28125" style="103" customWidth="1"/>
    <col min="2" max="2" width="89.57421875" style="103" customWidth="1"/>
    <col min="3" max="3" width="24.140625" style="103" customWidth="1"/>
    <col min="4" max="4" width="23.7109375" style="103" customWidth="1"/>
    <col min="5" max="5" width="23.421875" style="103" hidden="1" customWidth="1"/>
    <col min="6" max="6" width="15.57421875" style="103" hidden="1" customWidth="1"/>
    <col min="7" max="7" width="11.28125" style="103" hidden="1" customWidth="1"/>
    <col min="8" max="8" width="18.57421875" style="103" customWidth="1"/>
    <col min="9" max="9" width="20.57421875" style="103" customWidth="1"/>
    <col min="10" max="10" width="15.140625" style="103" customWidth="1"/>
    <col min="11" max="16384" width="9.140625" style="103" customWidth="1"/>
  </cols>
  <sheetData>
    <row r="1" ht="12.75"/>
    <row r="2" ht="12.75"/>
    <row r="3" ht="12.75"/>
    <row r="4" ht="12.75"/>
    <row r="5" ht="12.75"/>
    <row r="6" spans="1:4" ht="21">
      <c r="A6" s="177" t="str">
        <f>PLANILHA!A7</f>
        <v>APLICAÇÃO DE REVESTIMENTO ASFALTICO (CBUQ) SOBRE PARALELEPIPEDO EM DIVERSAS RUAS</v>
      </c>
      <c r="B6" s="150"/>
      <c r="C6" s="102"/>
      <c r="D6" s="102"/>
    </row>
    <row r="7" spans="1:4" ht="15">
      <c r="A7" s="151" t="str">
        <f>PLANILHA!A8</f>
        <v>MODALIDADE:  PAVIMENTAÇÃO E SINALIZAÇÃO HORIZONTAL</v>
      </c>
      <c r="B7" s="152"/>
      <c r="C7" s="105"/>
      <c r="D7" s="105"/>
    </row>
    <row r="8" spans="1:6" ht="13.8">
      <c r="A8" s="153" t="str">
        <f>PLANILHA!A9</f>
        <v>FASE : ÚNICA</v>
      </c>
      <c r="B8" s="152"/>
      <c r="C8" s="325"/>
      <c r="D8" s="325"/>
      <c r="E8" s="107"/>
      <c r="F8" s="107"/>
    </row>
    <row r="9" spans="1:6" ht="14.25" customHeight="1">
      <c r="A9" s="108" t="str">
        <f>PLANILHA!A10</f>
        <v>LOCAL: VERDEJANTE - PE</v>
      </c>
      <c r="B9" s="109"/>
      <c r="C9" s="110" t="str">
        <f>PLANILHA!F10</f>
        <v>DATA : JUNHO/2021</v>
      </c>
      <c r="D9" s="110" t="str">
        <f>PLANILHA!H10</f>
        <v>REVISÃO: JUNHO/2021</v>
      </c>
      <c r="E9" s="107"/>
      <c r="F9" s="107"/>
    </row>
    <row r="10" spans="1:6" ht="24.75" customHeight="1">
      <c r="A10" s="183" t="str">
        <f>PLANILHA!A11</f>
        <v>BAIRRO: CENTRO</v>
      </c>
      <c r="B10" s="184"/>
      <c r="C10" s="111" t="s">
        <v>92</v>
      </c>
      <c r="D10" s="185" t="str">
        <f>PLANILHA!H11</f>
        <v>SINAPI ABRIL/2021 E SEINFRA 027.1</v>
      </c>
      <c r="E10" s="112"/>
      <c r="F10" s="112"/>
    </row>
    <row r="11" spans="1:14" ht="23.25" customHeight="1" thickBot="1">
      <c r="A11" s="347" t="s">
        <v>93</v>
      </c>
      <c r="B11" s="348"/>
      <c r="C11" s="348"/>
      <c r="D11" s="349"/>
      <c r="F11" s="113"/>
      <c r="G11" s="113"/>
      <c r="I11" s="350"/>
      <c r="J11" s="350"/>
      <c r="K11" s="350"/>
      <c r="L11" s="350"/>
      <c r="M11" s="350"/>
      <c r="N11" s="350"/>
    </row>
    <row r="12" spans="1:7" ht="15">
      <c r="A12" s="351" t="s">
        <v>29</v>
      </c>
      <c r="B12" s="353" t="s">
        <v>0</v>
      </c>
      <c r="C12" s="353" t="s">
        <v>94</v>
      </c>
      <c r="D12" s="353" t="s">
        <v>4</v>
      </c>
      <c r="E12" s="114"/>
      <c r="F12" s="115"/>
      <c r="G12" s="115"/>
    </row>
    <row r="13" spans="1:7" ht="11.25" customHeight="1">
      <c r="A13" s="352"/>
      <c r="B13" s="354"/>
      <c r="C13" s="355"/>
      <c r="D13" s="355"/>
      <c r="E13" s="114"/>
      <c r="F13" s="115"/>
      <c r="G13" s="116"/>
    </row>
    <row r="14" spans="1:7" ht="15">
      <c r="A14" s="117" t="s">
        <v>5</v>
      </c>
      <c r="B14" s="118" t="str">
        <f>PLANILHA!C14</f>
        <v>SERVIÇOS PRELIMINARES</v>
      </c>
      <c r="C14" s="119">
        <f>PLANILHA!I14</f>
        <v>2207.46</v>
      </c>
      <c r="D14" s="120">
        <f>C14/$C$22</f>
        <v>0.0029</v>
      </c>
      <c r="E14" s="121" t="e">
        <f>#REF!+E22</f>
        <v>#REF!</v>
      </c>
      <c r="F14" s="115"/>
      <c r="G14" s="116"/>
    </row>
    <row r="15" spans="1:7" ht="9.9" customHeight="1">
      <c r="A15" s="117"/>
      <c r="B15" s="118"/>
      <c r="C15" s="119"/>
      <c r="D15" s="120"/>
      <c r="E15" s="121"/>
      <c r="F15" s="115"/>
      <c r="G15" s="116"/>
    </row>
    <row r="16" spans="1:9" ht="15">
      <c r="A16" s="117" t="s">
        <v>6</v>
      </c>
      <c r="B16" s="118" t="str">
        <f>PLANILHA!C17</f>
        <v>CBUQ</v>
      </c>
      <c r="C16" s="119">
        <f>PLANILHA!I17</f>
        <v>743472.65</v>
      </c>
      <c r="D16" s="120">
        <f>C16/$C$22</f>
        <v>0.9747</v>
      </c>
      <c r="E16" s="114"/>
      <c r="F16" s="115"/>
      <c r="G16" s="116"/>
      <c r="H16" s="122"/>
      <c r="I16" s="122"/>
    </row>
    <row r="17" spans="1:9" ht="9.9" customHeight="1">
      <c r="A17" s="117"/>
      <c r="B17" s="118"/>
      <c r="C17" s="119"/>
      <c r="D17" s="120"/>
      <c r="E17" s="114"/>
      <c r="F17" s="115"/>
      <c r="G17" s="116"/>
      <c r="H17" s="122"/>
      <c r="I17" s="122"/>
    </row>
    <row r="18" spans="1:7" ht="15">
      <c r="A18" s="117" t="s">
        <v>7</v>
      </c>
      <c r="B18" s="118" t="str">
        <f>PLANILHA!C22</f>
        <v>SINALIZAÇÃO HORIZONTAL</v>
      </c>
      <c r="C18" s="123">
        <f>PLANILHA!I22</f>
        <v>17113.6</v>
      </c>
      <c r="D18" s="120">
        <f>C18/$C$22</f>
        <v>0.0224</v>
      </c>
      <c r="E18" s="114"/>
      <c r="F18" s="124"/>
      <c r="G18" s="124"/>
    </row>
    <row r="19" spans="1:7" ht="9.9" customHeight="1">
      <c r="A19" s="117"/>
      <c r="B19" s="118"/>
      <c r="C19" s="119"/>
      <c r="D19" s="120"/>
      <c r="E19" s="114"/>
      <c r="F19" s="124"/>
      <c r="G19" s="124"/>
    </row>
    <row r="20" spans="1:7" ht="15">
      <c r="A20" s="126"/>
      <c r="B20" s="127"/>
      <c r="C20" s="119"/>
      <c r="D20" s="120"/>
      <c r="E20" s="114"/>
      <c r="F20" s="124"/>
      <c r="G20" s="124"/>
    </row>
    <row r="21" spans="1:9" ht="15">
      <c r="A21" s="117"/>
      <c r="B21" s="118"/>
      <c r="C21" s="128"/>
      <c r="D21" s="120"/>
      <c r="E21" s="114"/>
      <c r="I21" s="124"/>
    </row>
    <row r="22" spans="1:10" ht="13.8">
      <c r="A22" s="129"/>
      <c r="B22" s="130" t="s">
        <v>90</v>
      </c>
      <c r="C22" s="131">
        <f>SUM(C14:C21)</f>
        <v>762793.71</v>
      </c>
      <c r="D22" s="199">
        <f>SUM(D14:D21)</f>
        <v>1</v>
      </c>
      <c r="E22" s="132" t="e">
        <f>#REF!-#REF!</f>
        <v>#REF!</v>
      </c>
      <c r="I22" s="122"/>
      <c r="J22" s="133"/>
    </row>
    <row r="23" spans="1:4" ht="15">
      <c r="A23" s="113"/>
      <c r="B23" s="113"/>
      <c r="C23" s="113"/>
      <c r="D23" s="113"/>
    </row>
    <row r="24" spans="1:9" ht="15">
      <c r="A24" s="134"/>
      <c r="B24" s="134"/>
      <c r="C24" s="135"/>
      <c r="D24" s="113"/>
      <c r="E24" s="124"/>
      <c r="I24" s="122"/>
    </row>
    <row r="25" spans="1:2" ht="15">
      <c r="A25" s="134"/>
      <c r="B25" s="134"/>
    </row>
    <row r="26" spans="1:8" ht="15">
      <c r="A26" s="134"/>
      <c r="B26" s="134"/>
      <c r="C26" s="136"/>
      <c r="E26" s="122"/>
      <c r="H26" s="122"/>
    </row>
    <row r="27" spans="1:9" ht="15">
      <c r="A27" s="134"/>
      <c r="B27" s="134"/>
      <c r="I27" s="122"/>
    </row>
    <row r="28" spans="1:3" ht="15">
      <c r="A28" s="134"/>
      <c r="B28" s="134"/>
      <c r="C28" s="137"/>
    </row>
    <row r="30" spans="2:3" ht="15">
      <c r="B30" s="138"/>
      <c r="C30" s="139"/>
    </row>
    <row r="32" spans="2:3" ht="15">
      <c r="B32" s="140"/>
      <c r="C32" s="141"/>
    </row>
    <row r="34" spans="2:3" ht="15">
      <c r="B34" s="142"/>
      <c r="C34" s="124"/>
    </row>
  </sheetData>
  <mergeCells count="7">
    <mergeCell ref="C8:D8"/>
    <mergeCell ref="A11:D11"/>
    <mergeCell ref="I11:N11"/>
    <mergeCell ref="A12:A13"/>
    <mergeCell ref="B12:B13"/>
    <mergeCell ref="C12:C13"/>
    <mergeCell ref="D12:D13"/>
  </mergeCells>
  <printOptions horizontalCentered="1"/>
  <pageMargins left="0.5118110236220472" right="0.5118110236220472" top="1.5748031496062993" bottom="0.7874015748031497" header="0.31496062992125984" footer="0.31496062992125984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K176"/>
  <sheetViews>
    <sheetView showGridLines="0" view="pageLayout" zoomScaleSheetLayoutView="100" workbookViewId="0" topLeftCell="A34">
      <selection activeCell="E177" sqref="E177"/>
    </sheetView>
  </sheetViews>
  <sheetFormatPr defaultColWidth="9.140625" defaultRowHeight="15"/>
  <cols>
    <col min="1" max="1" width="8.57421875" style="35" customWidth="1"/>
    <col min="2" max="2" width="19.00390625" style="20" bestFit="1" customWidth="1"/>
    <col min="3" max="3" width="72.28125" style="20" bestFit="1" customWidth="1"/>
    <col min="4" max="4" width="6.00390625" style="36" bestFit="1" customWidth="1"/>
    <col min="5" max="5" width="9.8515625" style="33" bestFit="1" customWidth="1"/>
    <col min="6" max="6" width="11.8515625" style="33" customWidth="1"/>
    <col min="7" max="7" width="11.28125" style="33" bestFit="1" customWidth="1"/>
    <col min="8" max="8" width="19.28125" style="33" customWidth="1"/>
    <col min="9" max="9" width="17.8515625" style="33" customWidth="1"/>
    <col min="10" max="10" width="12.8515625" style="19" bestFit="1" customWidth="1"/>
    <col min="11" max="11" width="12.8515625" style="20" bestFit="1" customWidth="1"/>
    <col min="12" max="12" width="9.140625" style="20" customWidth="1"/>
    <col min="13" max="13" width="9.28125" style="20" bestFit="1" customWidth="1"/>
    <col min="14" max="16384" width="9.140625" style="20" customWidth="1"/>
  </cols>
  <sheetData>
    <row r="1" ht="12.75"/>
    <row r="2" ht="12.75"/>
    <row r="3" ht="12.75"/>
    <row r="4" ht="12.75"/>
    <row r="5" ht="12.75"/>
    <row r="6" spans="1:9" ht="21">
      <c r="A6" s="143" t="s">
        <v>106</v>
      </c>
      <c r="B6" s="143"/>
      <c r="C6" s="143"/>
      <c r="D6" s="143"/>
      <c r="E6" s="143"/>
      <c r="F6" s="143"/>
      <c r="G6" s="143"/>
      <c r="H6" s="143"/>
      <c r="I6" s="143"/>
    </row>
    <row r="7" spans="1:9" ht="15" customHeight="1">
      <c r="A7" s="104" t="s">
        <v>170</v>
      </c>
      <c r="D7" s="20"/>
      <c r="E7" s="20"/>
      <c r="F7" s="20"/>
      <c r="G7" s="20"/>
      <c r="H7" s="20"/>
      <c r="I7" s="20"/>
    </row>
    <row r="8" spans="1:9" ht="15">
      <c r="A8" s="106" t="s">
        <v>91</v>
      </c>
      <c r="B8" s="98"/>
      <c r="C8" s="98"/>
      <c r="D8" s="98"/>
      <c r="E8" s="98"/>
      <c r="F8" s="20"/>
      <c r="G8" s="20"/>
      <c r="H8" s="20"/>
      <c r="I8" s="98"/>
    </row>
    <row r="9" spans="1:9" ht="15.75" customHeight="1">
      <c r="A9" s="108" t="s">
        <v>171</v>
      </c>
      <c r="B9" s="98"/>
      <c r="C9" s="149"/>
      <c r="D9" s="110"/>
      <c r="E9" s="110"/>
      <c r="F9" s="110" t="s">
        <v>108</v>
      </c>
      <c r="G9" s="98"/>
      <c r="H9" s="110" t="s">
        <v>109</v>
      </c>
      <c r="I9" s="144"/>
    </row>
    <row r="10" spans="1:9" ht="14.25" customHeight="1">
      <c r="A10" s="108" t="s">
        <v>172</v>
      </c>
      <c r="B10" s="145"/>
      <c r="C10" s="145"/>
      <c r="D10" s="145"/>
      <c r="E10" s="145"/>
      <c r="F10" s="147" t="s">
        <v>25</v>
      </c>
      <c r="G10" s="148">
        <v>0.2652</v>
      </c>
      <c r="H10" s="146" t="s">
        <v>173</v>
      </c>
      <c r="I10" s="146"/>
    </row>
    <row r="11" spans="1:9" ht="15">
      <c r="A11" s="363" t="s">
        <v>29</v>
      </c>
      <c r="B11" s="363" t="s">
        <v>3</v>
      </c>
      <c r="C11" s="365" t="str">
        <f>'M CÁLCULO'!$A$16</f>
        <v>RUA OSMUNDO BEZERRA</v>
      </c>
      <c r="D11" s="363" t="s">
        <v>16</v>
      </c>
      <c r="E11" s="356" t="s">
        <v>1</v>
      </c>
      <c r="F11" s="367" t="s">
        <v>2</v>
      </c>
      <c r="G11" s="368"/>
      <c r="H11" s="356" t="s">
        <v>26</v>
      </c>
      <c r="I11" s="369" t="s">
        <v>27</v>
      </c>
    </row>
    <row r="12" spans="1:9" ht="15">
      <c r="A12" s="364"/>
      <c r="B12" s="364"/>
      <c r="C12" s="366"/>
      <c r="D12" s="364"/>
      <c r="E12" s="357"/>
      <c r="F12" s="220" t="s">
        <v>23</v>
      </c>
      <c r="G12" s="220" t="s">
        <v>24</v>
      </c>
      <c r="H12" s="357"/>
      <c r="I12" s="369"/>
    </row>
    <row r="13" spans="1:11" s="40" customFormat="1" ht="15">
      <c r="A13" s="221" t="s">
        <v>6</v>
      </c>
      <c r="B13" s="221"/>
      <c r="C13" s="222" t="s">
        <v>100</v>
      </c>
      <c r="D13" s="222"/>
      <c r="E13" s="223"/>
      <c r="F13" s="224"/>
      <c r="G13" s="224"/>
      <c r="H13" s="224">
        <f>SUM(H14:H16)</f>
        <v>99717.04</v>
      </c>
      <c r="I13" s="224">
        <f>SUM(I14:I16)</f>
        <v>126132.85</v>
      </c>
      <c r="J13" s="39"/>
      <c r="K13" s="97"/>
    </row>
    <row r="14" spans="1:9" ht="15">
      <c r="A14" s="225" t="s">
        <v>30</v>
      </c>
      <c r="B14" s="226">
        <v>72942</v>
      </c>
      <c r="C14" s="227" t="s">
        <v>66</v>
      </c>
      <c r="D14" s="228" t="s">
        <v>9</v>
      </c>
      <c r="E14" s="229">
        <f>'M CÁLCULO'!F16</f>
        <v>2352.6</v>
      </c>
      <c r="F14" s="230">
        <v>2.11</v>
      </c>
      <c r="G14" s="231">
        <f>(_xlfn.IFERROR((F14*((1+$G$10))),"-"))</f>
        <v>2.67</v>
      </c>
      <c r="H14" s="231">
        <f>_xlfn.IFERROR(E14*F14,"-")</f>
        <v>4963.99</v>
      </c>
      <c r="I14" s="231">
        <f>_xlfn.IFERROR(E14*G14,"-")</f>
        <v>6281.44</v>
      </c>
    </row>
    <row r="15" spans="1:9" ht="23.4">
      <c r="A15" s="225" t="s">
        <v>70</v>
      </c>
      <c r="B15" s="410" t="s">
        <v>176</v>
      </c>
      <c r="C15" s="411" t="s">
        <v>177</v>
      </c>
      <c r="D15" s="228" t="s">
        <v>178</v>
      </c>
      <c r="E15" s="229">
        <f>'M CÁLCULO'!H16</f>
        <v>94.1</v>
      </c>
      <c r="F15" s="230">
        <v>962.3</v>
      </c>
      <c r="G15" s="231">
        <f>(_xlfn.IFERROR((F15*((1+$G$10))),"-"))</f>
        <v>1217.5</v>
      </c>
      <c r="H15" s="231">
        <f>_xlfn.IFERROR(E15*F15,"-")</f>
        <v>90552.43</v>
      </c>
      <c r="I15" s="231">
        <f>_xlfn.IFERROR(E15*G15,"-")</f>
        <v>114566.75</v>
      </c>
    </row>
    <row r="16" spans="1:9" ht="22.8">
      <c r="A16" s="225" t="s">
        <v>71</v>
      </c>
      <c r="B16" s="226">
        <v>95430</v>
      </c>
      <c r="C16" s="227" t="s">
        <v>72</v>
      </c>
      <c r="D16" s="228" t="s">
        <v>69</v>
      </c>
      <c r="E16" s="229">
        <f>'M CÁLCULO'!$I$16*'M CÁLCULO'!$C$35</f>
        <v>13550.4</v>
      </c>
      <c r="F16" s="230">
        <v>0.31</v>
      </c>
      <c r="G16" s="231">
        <f>(_xlfn.IFERROR((F16*((1+$G$10))),"-"))</f>
        <v>0.39</v>
      </c>
      <c r="H16" s="231">
        <f>_xlfn.IFERROR(E16*F16,"-")</f>
        <v>4200.62</v>
      </c>
      <c r="I16" s="231">
        <f>_xlfn.IFERROR(E16*G16,"-")</f>
        <v>5284.66</v>
      </c>
    </row>
    <row r="17" spans="1:9" ht="15">
      <c r="A17" s="225"/>
      <c r="B17" s="233"/>
      <c r="C17" s="234"/>
      <c r="D17" s="235"/>
      <c r="E17" s="229"/>
      <c r="F17" s="236"/>
      <c r="G17" s="231"/>
      <c r="H17" s="231"/>
      <c r="I17" s="231"/>
    </row>
    <row r="18" spans="1:10" s="40" customFormat="1" ht="16.5" customHeight="1">
      <c r="A18" s="221" t="s">
        <v>7</v>
      </c>
      <c r="B18" s="221"/>
      <c r="C18" s="222" t="s">
        <v>101</v>
      </c>
      <c r="D18" s="237"/>
      <c r="E18" s="223"/>
      <c r="F18" s="224"/>
      <c r="G18" s="224"/>
      <c r="H18" s="224">
        <f>SUM(H19:H20)</f>
        <v>2114.53</v>
      </c>
      <c r="I18" s="224">
        <f>SUM(I19:I20)</f>
        <v>2675.61</v>
      </c>
      <c r="J18" s="39"/>
    </row>
    <row r="19" spans="1:10" s="26" customFormat="1" ht="23.25" customHeight="1">
      <c r="A19" s="238" t="s">
        <v>31</v>
      </c>
      <c r="B19" s="226">
        <v>72947</v>
      </c>
      <c r="C19" s="227" t="s">
        <v>77</v>
      </c>
      <c r="D19" s="232" t="s">
        <v>9</v>
      </c>
      <c r="E19" s="239">
        <f>'M CÁLCULO'!$D$40+'M CÁLCULO'!$D$59</f>
        <v>121.25</v>
      </c>
      <c r="F19" s="240">
        <v>15.64</v>
      </c>
      <c r="G19" s="231">
        <f>(_xlfn.IFERROR((F19*((1+$G$10))),"-"))</f>
        <v>19.79</v>
      </c>
      <c r="H19" s="241">
        <f aca="true" t="shared" si="0" ref="H19:H20">_xlfn.IFERROR(E19*F19,"-")</f>
        <v>1896.35</v>
      </c>
      <c r="I19" s="231">
        <f aca="true" t="shared" si="1" ref="I19:I20">_xlfn.IFERROR(E19*G19,"-")</f>
        <v>2399.54</v>
      </c>
      <c r="J19" s="19"/>
    </row>
    <row r="20" spans="1:10" s="26" customFormat="1" ht="22.8">
      <c r="A20" s="238" t="s">
        <v>84</v>
      </c>
      <c r="B20" s="226">
        <v>72947</v>
      </c>
      <c r="C20" s="227" t="s">
        <v>85</v>
      </c>
      <c r="D20" s="232" t="s">
        <v>9</v>
      </c>
      <c r="E20" s="239">
        <f>'M CÁLCULO'!$H$80</f>
        <v>13.95</v>
      </c>
      <c r="F20" s="240">
        <v>15.64</v>
      </c>
      <c r="G20" s="231">
        <f>(_xlfn.IFERROR((F20*((1+$G$10))),"-"))</f>
        <v>19.79</v>
      </c>
      <c r="H20" s="241">
        <f t="shared" si="0"/>
        <v>218.18</v>
      </c>
      <c r="I20" s="231">
        <f t="shared" si="1"/>
        <v>276.07</v>
      </c>
      <c r="J20" s="19"/>
    </row>
    <row r="21" spans="1:10" s="26" customFormat="1" ht="15">
      <c r="A21" s="238"/>
      <c r="B21" s="226"/>
      <c r="C21" s="227"/>
      <c r="D21" s="232"/>
      <c r="E21" s="242"/>
      <c r="F21" s="240"/>
      <c r="G21" s="231"/>
      <c r="H21" s="241"/>
      <c r="I21" s="231"/>
      <c r="J21" s="19"/>
    </row>
    <row r="22" spans="1:10" s="33" customFormat="1" ht="15">
      <c r="A22" s="360" t="s">
        <v>97</v>
      </c>
      <c r="B22" s="361"/>
      <c r="C22" s="361"/>
      <c r="D22" s="361"/>
      <c r="E22" s="361"/>
      <c r="F22" s="361"/>
      <c r="G22" s="362"/>
      <c r="H22" s="243">
        <f>H13+H18</f>
        <v>101831.57</v>
      </c>
      <c r="I22" s="243">
        <f>I13+I18</f>
        <v>128808.46</v>
      </c>
      <c r="J22" s="32"/>
    </row>
    <row r="23" spans="1:10" s="33" customFormat="1" ht="15">
      <c r="A23" s="244"/>
      <c r="B23" s="245"/>
      <c r="C23" s="245"/>
      <c r="D23" s="245"/>
      <c r="E23" s="245"/>
      <c r="F23" s="245"/>
      <c r="G23" s="245"/>
      <c r="H23" s="245"/>
      <c r="I23" s="246"/>
      <c r="J23" s="32"/>
    </row>
    <row r="24" spans="1:10" s="33" customFormat="1" ht="15">
      <c r="A24" s="363" t="s">
        <v>29</v>
      </c>
      <c r="B24" s="363" t="s">
        <v>3</v>
      </c>
      <c r="C24" s="365" t="str">
        <f>'M CÁLCULO'!$A$17</f>
        <v>RUA AGAMENON MAGALHÃES</v>
      </c>
      <c r="D24" s="363" t="s">
        <v>16</v>
      </c>
      <c r="E24" s="356" t="s">
        <v>1</v>
      </c>
      <c r="F24" s="367" t="s">
        <v>2</v>
      </c>
      <c r="G24" s="368"/>
      <c r="H24" s="356" t="s">
        <v>26</v>
      </c>
      <c r="I24" s="358" t="s">
        <v>27</v>
      </c>
      <c r="J24" s="32"/>
    </row>
    <row r="25" spans="1:10" s="33" customFormat="1" ht="15">
      <c r="A25" s="364"/>
      <c r="B25" s="364"/>
      <c r="C25" s="366"/>
      <c r="D25" s="364"/>
      <c r="E25" s="357"/>
      <c r="F25" s="220" t="s">
        <v>23</v>
      </c>
      <c r="G25" s="220" t="s">
        <v>24</v>
      </c>
      <c r="H25" s="357"/>
      <c r="I25" s="359"/>
      <c r="J25" s="32"/>
    </row>
    <row r="26" spans="1:10" s="33" customFormat="1" ht="15">
      <c r="A26" s="221" t="s">
        <v>6</v>
      </c>
      <c r="B26" s="221"/>
      <c r="C26" s="222" t="s">
        <v>100</v>
      </c>
      <c r="D26" s="222"/>
      <c r="E26" s="223"/>
      <c r="F26" s="224"/>
      <c r="G26" s="224"/>
      <c r="H26" s="224">
        <f>SUM(H27:H29)</f>
        <v>146904.58</v>
      </c>
      <c r="I26" s="224">
        <f>SUM(I27:I29)</f>
        <v>185820.73</v>
      </c>
      <c r="J26" s="32"/>
    </row>
    <row r="27" spans="1:10" s="33" customFormat="1" ht="15">
      <c r="A27" s="225" t="s">
        <v>30</v>
      </c>
      <c r="B27" s="226">
        <v>72942</v>
      </c>
      <c r="C27" s="227" t="s">
        <v>66</v>
      </c>
      <c r="D27" s="228" t="s">
        <v>9</v>
      </c>
      <c r="E27" s="229">
        <f>'M CÁLCULO'!F17</f>
        <v>3465.65</v>
      </c>
      <c r="F27" s="230">
        <v>2.11</v>
      </c>
      <c r="G27" s="231">
        <f>(_xlfn.IFERROR((F27*((1+$G$10))),"-"))</f>
        <v>2.67</v>
      </c>
      <c r="H27" s="231">
        <f>_xlfn.IFERROR(E27*F27,"-")</f>
        <v>7312.52</v>
      </c>
      <c r="I27" s="231">
        <f>_xlfn.IFERROR(E27*G27,"-")</f>
        <v>9253.29</v>
      </c>
      <c r="J27" s="32"/>
    </row>
    <row r="28" spans="1:10" s="33" customFormat="1" ht="23.4">
      <c r="A28" s="225" t="s">
        <v>70</v>
      </c>
      <c r="B28" s="410" t="s">
        <v>176</v>
      </c>
      <c r="C28" s="411" t="s">
        <v>177</v>
      </c>
      <c r="D28" s="228" t="s">
        <v>178</v>
      </c>
      <c r="E28" s="229">
        <f>'M CÁLCULO'!H17</f>
        <v>138.63</v>
      </c>
      <c r="F28" s="230">
        <v>962.3</v>
      </c>
      <c r="G28" s="231">
        <f>(_xlfn.IFERROR((F28*((1+$G$10))),"-"))</f>
        <v>1217.5</v>
      </c>
      <c r="H28" s="231">
        <f>_xlfn.IFERROR(E28*F28,"-")</f>
        <v>133403.65</v>
      </c>
      <c r="I28" s="231">
        <f>_xlfn.IFERROR(E28*G28,"-")</f>
        <v>168782.03</v>
      </c>
      <c r="J28" s="32"/>
    </row>
    <row r="29" spans="1:10" s="33" customFormat="1" ht="22.8">
      <c r="A29" s="225" t="s">
        <v>71</v>
      </c>
      <c r="B29" s="226">
        <v>95430</v>
      </c>
      <c r="C29" s="227" t="s">
        <v>72</v>
      </c>
      <c r="D29" s="228" t="s">
        <v>69</v>
      </c>
      <c r="E29" s="229">
        <f>'M CÁLCULO'!$I$17*'M CÁLCULO'!$C$35</f>
        <v>19962.6</v>
      </c>
      <c r="F29" s="230">
        <v>0.31</v>
      </c>
      <c r="G29" s="231">
        <f>(_xlfn.IFERROR((F29*((1+$G$10))),"-"))</f>
        <v>0.39</v>
      </c>
      <c r="H29" s="231">
        <f>_xlfn.IFERROR(E29*F29,"-")</f>
        <v>6188.41</v>
      </c>
      <c r="I29" s="231">
        <f>_xlfn.IFERROR(E29*G29,"-")</f>
        <v>7785.41</v>
      </c>
      <c r="J29" s="32"/>
    </row>
    <row r="30" spans="1:10" s="33" customFormat="1" ht="15">
      <c r="A30" s="225"/>
      <c r="B30" s="233"/>
      <c r="C30" s="234"/>
      <c r="D30" s="235"/>
      <c r="E30" s="229"/>
      <c r="F30" s="236"/>
      <c r="G30" s="231"/>
      <c r="H30" s="231"/>
      <c r="I30" s="231"/>
      <c r="J30" s="32"/>
    </row>
    <row r="31" spans="1:10" s="33" customFormat="1" ht="15">
      <c r="A31" s="221" t="s">
        <v>7</v>
      </c>
      <c r="B31" s="221"/>
      <c r="C31" s="222" t="s">
        <v>101</v>
      </c>
      <c r="D31" s="237"/>
      <c r="E31" s="223"/>
      <c r="F31" s="224"/>
      <c r="G31" s="224"/>
      <c r="H31" s="224">
        <f>SUM(H32:H33)</f>
        <v>2872.76</v>
      </c>
      <c r="I31" s="224">
        <f>SUM(I32:I33)</f>
        <v>3635.03</v>
      </c>
      <c r="J31" s="32"/>
    </row>
    <row r="32" spans="1:10" s="33" customFormat="1" ht="34.2">
      <c r="A32" s="238" t="s">
        <v>31</v>
      </c>
      <c r="B32" s="226">
        <v>72947</v>
      </c>
      <c r="C32" s="227" t="s">
        <v>77</v>
      </c>
      <c r="D32" s="232" t="s">
        <v>9</v>
      </c>
      <c r="E32" s="239">
        <f>'M CÁLCULO'!$D$41+'M CÁLCULO'!$D$60</f>
        <v>171.5</v>
      </c>
      <c r="F32" s="240">
        <v>15.64</v>
      </c>
      <c r="G32" s="231">
        <f>(_xlfn.IFERROR((F32*((1+$G$10))),"-"))</f>
        <v>19.79</v>
      </c>
      <c r="H32" s="241">
        <f aca="true" t="shared" si="2" ref="H32:H33">_xlfn.IFERROR(E32*F32,"-")</f>
        <v>2682.26</v>
      </c>
      <c r="I32" s="231">
        <f aca="true" t="shared" si="3" ref="I32:I33">_xlfn.IFERROR(E32*G32,"-")</f>
        <v>3393.99</v>
      </c>
      <c r="J32" s="32"/>
    </row>
    <row r="33" spans="1:10" s="33" customFormat="1" ht="22.8">
      <c r="A33" s="238" t="s">
        <v>84</v>
      </c>
      <c r="B33" s="226">
        <v>72947</v>
      </c>
      <c r="C33" s="227" t="s">
        <v>85</v>
      </c>
      <c r="D33" s="232" t="s">
        <v>9</v>
      </c>
      <c r="E33" s="239">
        <f>'M CÁLCULO'!$H$81</f>
        <v>12.18</v>
      </c>
      <c r="F33" s="240">
        <v>15.64</v>
      </c>
      <c r="G33" s="231">
        <f>(_xlfn.IFERROR((F33*((1+$G$10))),"-"))</f>
        <v>19.79</v>
      </c>
      <c r="H33" s="241">
        <f t="shared" si="2"/>
        <v>190.5</v>
      </c>
      <c r="I33" s="231">
        <f t="shared" si="3"/>
        <v>241.04</v>
      </c>
      <c r="J33" s="32"/>
    </row>
    <row r="34" spans="1:10" s="33" customFormat="1" ht="15">
      <c r="A34" s="238"/>
      <c r="B34" s="226"/>
      <c r="C34" s="227"/>
      <c r="D34" s="232"/>
      <c r="E34" s="242"/>
      <c r="F34" s="240"/>
      <c r="G34" s="231"/>
      <c r="H34" s="241"/>
      <c r="I34" s="231"/>
      <c r="J34" s="32"/>
    </row>
    <row r="35" spans="1:10" s="33" customFormat="1" ht="13.2" customHeight="1">
      <c r="A35" s="360" t="s">
        <v>97</v>
      </c>
      <c r="B35" s="361"/>
      <c r="C35" s="361"/>
      <c r="D35" s="361"/>
      <c r="E35" s="361"/>
      <c r="F35" s="361"/>
      <c r="G35" s="362"/>
      <c r="H35" s="243">
        <f>H26+H31</f>
        <v>149777.34</v>
      </c>
      <c r="I35" s="243">
        <f>I26+I31</f>
        <v>189455.76</v>
      </c>
      <c r="J35" s="32"/>
    </row>
    <row r="36" spans="1:10" s="33" customFormat="1" ht="15">
      <c r="A36" s="34"/>
      <c r="B36" s="20"/>
      <c r="C36" s="20"/>
      <c r="D36" s="20"/>
      <c r="E36" s="20"/>
      <c r="F36" s="20"/>
      <c r="G36" s="20"/>
      <c r="H36" s="20"/>
      <c r="J36" s="32"/>
    </row>
    <row r="37" spans="1:10" s="33" customFormat="1" ht="15">
      <c r="A37" s="363" t="s">
        <v>29</v>
      </c>
      <c r="B37" s="363" t="s">
        <v>3</v>
      </c>
      <c r="C37" s="365" t="str">
        <f>'M CÁLCULO'!$A$18</f>
        <v>RUA MARIANO GOMES</v>
      </c>
      <c r="D37" s="363" t="s">
        <v>16</v>
      </c>
      <c r="E37" s="356" t="s">
        <v>1</v>
      </c>
      <c r="F37" s="367" t="s">
        <v>2</v>
      </c>
      <c r="G37" s="368"/>
      <c r="H37" s="356" t="s">
        <v>26</v>
      </c>
      <c r="I37" s="358" t="s">
        <v>27</v>
      </c>
      <c r="J37" s="32"/>
    </row>
    <row r="38" spans="1:10" s="33" customFormat="1" ht="15">
      <c r="A38" s="364"/>
      <c r="B38" s="364"/>
      <c r="C38" s="366"/>
      <c r="D38" s="364"/>
      <c r="E38" s="357"/>
      <c r="F38" s="220" t="s">
        <v>23</v>
      </c>
      <c r="G38" s="220" t="s">
        <v>24</v>
      </c>
      <c r="H38" s="357"/>
      <c r="I38" s="359"/>
      <c r="J38" s="32"/>
    </row>
    <row r="39" spans="1:10" s="33" customFormat="1" ht="15">
      <c r="A39" s="221" t="s">
        <v>6</v>
      </c>
      <c r="B39" s="221"/>
      <c r="C39" s="222" t="s">
        <v>100</v>
      </c>
      <c r="D39" s="222"/>
      <c r="E39" s="223"/>
      <c r="F39" s="224"/>
      <c r="G39" s="224"/>
      <c r="H39" s="224">
        <f>SUM(H40:H42)</f>
        <v>92871.34</v>
      </c>
      <c r="I39" s="224">
        <f>SUM(I40:I42)</f>
        <v>117473.68</v>
      </c>
      <c r="J39" s="32"/>
    </row>
    <row r="40" spans="1:10" s="33" customFormat="1" ht="15">
      <c r="A40" s="225" t="s">
        <v>30</v>
      </c>
      <c r="B40" s="226">
        <v>72942</v>
      </c>
      <c r="C40" s="227" t="s">
        <v>66</v>
      </c>
      <c r="D40" s="228" t="s">
        <v>9</v>
      </c>
      <c r="E40" s="229">
        <f>'M CÁLCULO'!F18</f>
        <v>2191.02</v>
      </c>
      <c r="F40" s="230">
        <v>2.11</v>
      </c>
      <c r="G40" s="231">
        <f>(_xlfn.IFERROR((F40*((1+$G$10))),"-"))</f>
        <v>2.67</v>
      </c>
      <c r="H40" s="231">
        <f>_xlfn.IFERROR(E40*F40,"-")</f>
        <v>4623.05</v>
      </c>
      <c r="I40" s="231">
        <f>_xlfn.IFERROR(E40*G40,"-")</f>
        <v>5850.02</v>
      </c>
      <c r="J40" s="32"/>
    </row>
    <row r="41" spans="1:10" s="33" customFormat="1" ht="23.4">
      <c r="A41" s="225" t="s">
        <v>70</v>
      </c>
      <c r="B41" s="410" t="s">
        <v>176</v>
      </c>
      <c r="C41" s="411" t="s">
        <v>177</v>
      </c>
      <c r="D41" s="228" t="s">
        <v>178</v>
      </c>
      <c r="E41" s="229">
        <f>'M CÁLCULO'!H18</f>
        <v>87.64</v>
      </c>
      <c r="F41" s="230">
        <v>962.3</v>
      </c>
      <c r="G41" s="231">
        <f>(_xlfn.IFERROR((F41*((1+$G$10))),"-"))</f>
        <v>1217.5</v>
      </c>
      <c r="H41" s="231">
        <f>_xlfn.IFERROR(E41*F41,"-")</f>
        <v>84335.97</v>
      </c>
      <c r="I41" s="231">
        <f>_xlfn.IFERROR(E41*G41,"-")</f>
        <v>106701.7</v>
      </c>
      <c r="J41" s="32"/>
    </row>
    <row r="42" spans="1:10" s="33" customFormat="1" ht="22.8">
      <c r="A42" s="225" t="s">
        <v>71</v>
      </c>
      <c r="B42" s="226">
        <v>95430</v>
      </c>
      <c r="C42" s="227" t="s">
        <v>72</v>
      </c>
      <c r="D42" s="228" t="s">
        <v>69</v>
      </c>
      <c r="E42" s="229">
        <f>'M CÁLCULO'!$I$18*'M CÁLCULO'!$C$35</f>
        <v>12620.4</v>
      </c>
      <c r="F42" s="230">
        <v>0.31</v>
      </c>
      <c r="G42" s="231">
        <f>(_xlfn.IFERROR((F42*((1+$G$10))),"-"))</f>
        <v>0.39</v>
      </c>
      <c r="H42" s="231">
        <f>_xlfn.IFERROR(E42*F42,"-")</f>
        <v>3912.32</v>
      </c>
      <c r="I42" s="231">
        <f>_xlfn.IFERROR(E42*G42,"-")</f>
        <v>4921.96</v>
      </c>
      <c r="J42" s="32"/>
    </row>
    <row r="43" spans="1:10" s="33" customFormat="1" ht="15">
      <c r="A43" s="225"/>
      <c r="B43" s="233"/>
      <c r="C43" s="234"/>
      <c r="D43" s="235"/>
      <c r="E43" s="229"/>
      <c r="F43" s="236"/>
      <c r="G43" s="231"/>
      <c r="H43" s="231"/>
      <c r="I43" s="231"/>
      <c r="J43" s="32"/>
    </row>
    <row r="44" spans="1:10" s="33" customFormat="1" ht="15">
      <c r="A44" s="221" t="s">
        <v>7</v>
      </c>
      <c r="B44" s="221"/>
      <c r="C44" s="222" t="s">
        <v>101</v>
      </c>
      <c r="D44" s="237"/>
      <c r="E44" s="223"/>
      <c r="F44" s="224"/>
      <c r="G44" s="224"/>
      <c r="H44" s="224">
        <f>SUM(H45:H46)</f>
        <v>1713.67</v>
      </c>
      <c r="I44" s="224">
        <f>SUM(I45:I46)</f>
        <v>2168.39</v>
      </c>
      <c r="J44" s="32"/>
    </row>
    <row r="45" spans="1:10" s="33" customFormat="1" ht="34.2">
      <c r="A45" s="238" t="s">
        <v>31</v>
      </c>
      <c r="B45" s="226">
        <v>72947</v>
      </c>
      <c r="C45" s="227" t="s">
        <v>77</v>
      </c>
      <c r="D45" s="232" t="s">
        <v>9</v>
      </c>
      <c r="E45" s="239">
        <f>'M CÁLCULO'!$D$42+'M CÁLCULO'!$D$61</f>
        <v>109.57</v>
      </c>
      <c r="F45" s="240">
        <v>15.64</v>
      </c>
      <c r="G45" s="231">
        <f>(_xlfn.IFERROR((F45*((1+$G$10))),"-"))</f>
        <v>19.79</v>
      </c>
      <c r="H45" s="241">
        <f aca="true" t="shared" si="4" ref="H45:H46">_xlfn.IFERROR(E45*F45,"-")</f>
        <v>1713.67</v>
      </c>
      <c r="I45" s="231">
        <f aca="true" t="shared" si="5" ref="I45:I46">_xlfn.IFERROR(E45*G45,"-")</f>
        <v>2168.39</v>
      </c>
      <c r="J45" s="32"/>
    </row>
    <row r="46" spans="1:10" s="33" customFormat="1" ht="22.8">
      <c r="A46" s="238" t="s">
        <v>84</v>
      </c>
      <c r="B46" s="226">
        <v>72947</v>
      </c>
      <c r="C46" s="227" t="s">
        <v>85</v>
      </c>
      <c r="D46" s="232" t="s">
        <v>9</v>
      </c>
      <c r="E46" s="239">
        <f>'M CÁLCULO'!$H$82</f>
        <v>0</v>
      </c>
      <c r="F46" s="240">
        <v>15.64</v>
      </c>
      <c r="G46" s="231">
        <f>(_xlfn.IFERROR((F46*((1+$G$10))),"-"))</f>
        <v>19.79</v>
      </c>
      <c r="H46" s="241">
        <f t="shared" si="4"/>
        <v>0</v>
      </c>
      <c r="I46" s="231">
        <f t="shared" si="5"/>
        <v>0</v>
      </c>
      <c r="J46" s="32"/>
    </row>
    <row r="47" spans="1:10" s="33" customFormat="1" ht="15">
      <c r="A47" s="238"/>
      <c r="B47" s="226"/>
      <c r="C47" s="227"/>
      <c r="D47" s="232"/>
      <c r="E47" s="242"/>
      <c r="F47" s="240"/>
      <c r="G47" s="231"/>
      <c r="H47" s="241"/>
      <c r="I47" s="231"/>
      <c r="J47" s="32"/>
    </row>
    <row r="48" spans="1:10" s="33" customFormat="1" ht="13.2" customHeight="1">
      <c r="A48" s="360" t="s">
        <v>97</v>
      </c>
      <c r="B48" s="361"/>
      <c r="C48" s="361"/>
      <c r="D48" s="361"/>
      <c r="E48" s="361"/>
      <c r="F48" s="361"/>
      <c r="G48" s="362"/>
      <c r="H48" s="243">
        <f>H39+H44</f>
        <v>94585.01</v>
      </c>
      <c r="I48" s="243">
        <f>I39+I44</f>
        <v>119642.07</v>
      </c>
      <c r="J48" s="32"/>
    </row>
    <row r="49" spans="1:10" s="33" customFormat="1" ht="15">
      <c r="A49" s="34"/>
      <c r="B49" s="20"/>
      <c r="C49" s="20"/>
      <c r="D49" s="20"/>
      <c r="E49" s="20"/>
      <c r="F49" s="20"/>
      <c r="G49" s="20"/>
      <c r="H49" s="20"/>
      <c r="J49" s="32"/>
    </row>
    <row r="50" spans="1:10" s="33" customFormat="1" ht="15">
      <c r="A50" s="363" t="s">
        <v>29</v>
      </c>
      <c r="B50" s="363" t="s">
        <v>3</v>
      </c>
      <c r="C50" s="365" t="str">
        <f>'M CÁLCULO'!$A$19</f>
        <v>RUA JOSÉ TAVARES DE SÁ</v>
      </c>
      <c r="D50" s="363" t="s">
        <v>16</v>
      </c>
      <c r="E50" s="356" t="s">
        <v>1</v>
      </c>
      <c r="F50" s="367" t="s">
        <v>2</v>
      </c>
      <c r="G50" s="368"/>
      <c r="H50" s="356" t="s">
        <v>26</v>
      </c>
      <c r="I50" s="358" t="s">
        <v>27</v>
      </c>
      <c r="J50" s="32"/>
    </row>
    <row r="51" spans="1:10" s="33" customFormat="1" ht="15">
      <c r="A51" s="364"/>
      <c r="B51" s="364"/>
      <c r="C51" s="366"/>
      <c r="D51" s="364"/>
      <c r="E51" s="357"/>
      <c r="F51" s="220" t="s">
        <v>23</v>
      </c>
      <c r="G51" s="220" t="s">
        <v>24</v>
      </c>
      <c r="H51" s="357"/>
      <c r="I51" s="359"/>
      <c r="J51" s="32"/>
    </row>
    <row r="52" spans="1:10" s="33" customFormat="1" ht="15">
      <c r="A52" s="221" t="s">
        <v>6</v>
      </c>
      <c r="B52" s="221"/>
      <c r="C52" s="222" t="s">
        <v>100</v>
      </c>
      <c r="D52" s="222"/>
      <c r="E52" s="223"/>
      <c r="F52" s="224"/>
      <c r="G52" s="224"/>
      <c r="H52" s="224">
        <f>SUM(H53:H55)</f>
        <v>61091.14</v>
      </c>
      <c r="I52" s="224">
        <f>SUM(I53:I55)</f>
        <v>77274.64</v>
      </c>
      <c r="J52" s="32"/>
    </row>
    <row r="53" spans="1:10" s="33" customFormat="1" ht="15">
      <c r="A53" s="225" t="s">
        <v>30</v>
      </c>
      <c r="B53" s="226">
        <v>72942</v>
      </c>
      <c r="C53" s="227" t="s">
        <v>66</v>
      </c>
      <c r="D53" s="228" t="s">
        <v>9</v>
      </c>
      <c r="E53" s="229">
        <f>'M CÁLCULO'!F19</f>
        <v>1441.25</v>
      </c>
      <c r="F53" s="230">
        <v>2.11</v>
      </c>
      <c r="G53" s="231">
        <f>(_xlfn.IFERROR((F53*((1+$G$10))),"-"))</f>
        <v>2.67</v>
      </c>
      <c r="H53" s="231">
        <f>_xlfn.IFERROR(E53*F53,"-")</f>
        <v>3041.04</v>
      </c>
      <c r="I53" s="231">
        <f>_xlfn.IFERROR(E53*G53,"-")</f>
        <v>3848.14</v>
      </c>
      <c r="J53" s="32"/>
    </row>
    <row r="54" spans="1:10" s="33" customFormat="1" ht="23.4">
      <c r="A54" s="225" t="s">
        <v>70</v>
      </c>
      <c r="B54" s="410" t="s">
        <v>176</v>
      </c>
      <c r="C54" s="411" t="s">
        <v>177</v>
      </c>
      <c r="D54" s="228" t="s">
        <v>178</v>
      </c>
      <c r="E54" s="229">
        <f>'M CÁLCULO'!H19</f>
        <v>57.65</v>
      </c>
      <c r="F54" s="230">
        <v>962.3</v>
      </c>
      <c r="G54" s="231">
        <f>(_xlfn.IFERROR((F54*((1+$G$10))),"-"))</f>
        <v>1217.5</v>
      </c>
      <c r="H54" s="231">
        <f>_xlfn.IFERROR(E54*F54,"-")</f>
        <v>55476.6</v>
      </c>
      <c r="I54" s="231">
        <f>_xlfn.IFERROR(E54*G54,"-")</f>
        <v>70188.88</v>
      </c>
      <c r="J54" s="32"/>
    </row>
    <row r="55" spans="1:10" s="33" customFormat="1" ht="22.8">
      <c r="A55" s="225" t="s">
        <v>71</v>
      </c>
      <c r="B55" s="226">
        <v>95430</v>
      </c>
      <c r="C55" s="227" t="s">
        <v>72</v>
      </c>
      <c r="D55" s="228" t="s">
        <v>69</v>
      </c>
      <c r="E55" s="229">
        <f>'M CÁLCULO'!$I$19*'M CÁLCULO'!$C$35</f>
        <v>8301.6</v>
      </c>
      <c r="F55" s="230">
        <v>0.31</v>
      </c>
      <c r="G55" s="231">
        <f>(_xlfn.IFERROR((F55*((1+$G$10))),"-"))</f>
        <v>0.39</v>
      </c>
      <c r="H55" s="231">
        <f>_xlfn.IFERROR(E55*F55,"-")</f>
        <v>2573.5</v>
      </c>
      <c r="I55" s="231">
        <f>_xlfn.IFERROR(E55*G55,"-")</f>
        <v>3237.62</v>
      </c>
      <c r="J55" s="32"/>
    </row>
    <row r="56" spans="1:10" s="33" customFormat="1" ht="15">
      <c r="A56" s="225"/>
      <c r="B56" s="233"/>
      <c r="C56" s="234"/>
      <c r="D56" s="235"/>
      <c r="E56" s="229"/>
      <c r="F56" s="236"/>
      <c r="G56" s="231"/>
      <c r="H56" s="231"/>
      <c r="I56" s="231"/>
      <c r="J56" s="32"/>
    </row>
    <row r="57" spans="1:10" s="33" customFormat="1" ht="15">
      <c r="A57" s="221" t="s">
        <v>7</v>
      </c>
      <c r="B57" s="221"/>
      <c r="C57" s="222" t="s">
        <v>101</v>
      </c>
      <c r="D57" s="237"/>
      <c r="E57" s="223"/>
      <c r="F57" s="224"/>
      <c r="G57" s="224"/>
      <c r="H57" s="224">
        <f>SUM(H58:H59)</f>
        <v>1397.43</v>
      </c>
      <c r="I57" s="224">
        <f>SUM(I58:I59)</f>
        <v>1768.24</v>
      </c>
      <c r="J57" s="32"/>
    </row>
    <row r="58" spans="1:10" s="33" customFormat="1" ht="34.2">
      <c r="A58" s="238" t="s">
        <v>31</v>
      </c>
      <c r="B58" s="226">
        <v>72947</v>
      </c>
      <c r="C58" s="227" t="s">
        <v>77</v>
      </c>
      <c r="D58" s="232" t="s">
        <v>9</v>
      </c>
      <c r="E58" s="239">
        <f>'M CÁLCULO'!$D$43+'M CÁLCULO'!$D$62</f>
        <v>89.35</v>
      </c>
      <c r="F58" s="240">
        <v>15.64</v>
      </c>
      <c r="G58" s="231">
        <f>(_xlfn.IFERROR((F58*((1+$G$10))),"-"))</f>
        <v>19.79</v>
      </c>
      <c r="H58" s="241">
        <f aca="true" t="shared" si="6" ref="H58:H59">_xlfn.IFERROR(E58*F58,"-")</f>
        <v>1397.43</v>
      </c>
      <c r="I58" s="231">
        <f aca="true" t="shared" si="7" ref="I58:I59">_xlfn.IFERROR(E58*G58,"-")</f>
        <v>1768.24</v>
      </c>
      <c r="J58" s="32"/>
    </row>
    <row r="59" spans="1:10" s="33" customFormat="1" ht="22.8">
      <c r="A59" s="238" t="s">
        <v>84</v>
      </c>
      <c r="B59" s="226">
        <v>72947</v>
      </c>
      <c r="C59" s="227" t="s">
        <v>85</v>
      </c>
      <c r="D59" s="232" t="s">
        <v>9</v>
      </c>
      <c r="E59" s="239">
        <f>'M CÁLCULO'!$H$83</f>
        <v>0</v>
      </c>
      <c r="F59" s="240">
        <v>15.64</v>
      </c>
      <c r="G59" s="231">
        <f>(_xlfn.IFERROR((F59*((1+$G$10))),"-"))</f>
        <v>19.79</v>
      </c>
      <c r="H59" s="241">
        <f t="shared" si="6"/>
        <v>0</v>
      </c>
      <c r="I59" s="231">
        <f t="shared" si="7"/>
        <v>0</v>
      </c>
      <c r="J59" s="32"/>
    </row>
    <row r="60" spans="1:9" ht="15">
      <c r="A60" s="360" t="s">
        <v>97</v>
      </c>
      <c r="B60" s="361"/>
      <c r="C60" s="361"/>
      <c r="D60" s="361"/>
      <c r="E60" s="361"/>
      <c r="F60" s="361"/>
      <c r="G60" s="362"/>
      <c r="H60" s="243">
        <f>H52+H57</f>
        <v>62488.57</v>
      </c>
      <c r="I60" s="243">
        <f>I52+I57</f>
        <v>79042.88</v>
      </c>
    </row>
    <row r="62" spans="1:9" ht="15">
      <c r="A62" s="363" t="s">
        <v>29</v>
      </c>
      <c r="B62" s="363" t="s">
        <v>3</v>
      </c>
      <c r="C62" s="365" t="str">
        <f>'M CÁLCULO'!$A$20</f>
        <v>ANTONIO CECÍLIO RANGEL (TRECHO 1) - ENTRE O CRAS E CASA DE BEL)</v>
      </c>
      <c r="D62" s="363" t="s">
        <v>16</v>
      </c>
      <c r="E62" s="356" t="s">
        <v>1</v>
      </c>
      <c r="F62" s="367" t="s">
        <v>2</v>
      </c>
      <c r="G62" s="368"/>
      <c r="H62" s="356" t="s">
        <v>26</v>
      </c>
      <c r="I62" s="358" t="s">
        <v>27</v>
      </c>
    </row>
    <row r="63" spans="1:9" ht="15">
      <c r="A63" s="364"/>
      <c r="B63" s="364"/>
      <c r="C63" s="366"/>
      <c r="D63" s="364"/>
      <c r="E63" s="357"/>
      <c r="F63" s="220" t="s">
        <v>23</v>
      </c>
      <c r="G63" s="220" t="s">
        <v>24</v>
      </c>
      <c r="H63" s="357"/>
      <c r="I63" s="359"/>
    </row>
    <row r="64" spans="1:9" ht="15">
      <c r="A64" s="221" t="s">
        <v>6</v>
      </c>
      <c r="B64" s="221"/>
      <c r="C64" s="222" t="s">
        <v>100</v>
      </c>
      <c r="D64" s="222"/>
      <c r="E64" s="223"/>
      <c r="F64" s="224"/>
      <c r="G64" s="224"/>
      <c r="H64" s="224">
        <f>SUM(H65:H67)</f>
        <v>33327.45</v>
      </c>
      <c r="I64" s="224">
        <f>SUM(I65:I67)</f>
        <v>42156.14</v>
      </c>
    </row>
    <row r="65" spans="1:9" ht="15">
      <c r="A65" s="225" t="s">
        <v>30</v>
      </c>
      <c r="B65" s="226">
        <v>72942</v>
      </c>
      <c r="C65" s="227" t="s">
        <v>66</v>
      </c>
      <c r="D65" s="228" t="s">
        <v>9</v>
      </c>
      <c r="E65" s="229">
        <f>'M CÁLCULO'!F20</f>
        <v>786.34</v>
      </c>
      <c r="F65" s="230">
        <v>2.11</v>
      </c>
      <c r="G65" s="231">
        <f>(_xlfn.IFERROR((F65*((1+$G$10))),"-"))</f>
        <v>2.67</v>
      </c>
      <c r="H65" s="231">
        <f>_xlfn.IFERROR(E65*F65,"-")</f>
        <v>1659.18</v>
      </c>
      <c r="I65" s="231">
        <f>_xlfn.IFERROR(E65*G65,"-")</f>
        <v>2099.53</v>
      </c>
    </row>
    <row r="66" spans="1:9" ht="23.4">
      <c r="A66" s="225" t="s">
        <v>70</v>
      </c>
      <c r="B66" s="410" t="s">
        <v>176</v>
      </c>
      <c r="C66" s="411" t="s">
        <v>177</v>
      </c>
      <c r="D66" s="228" t="s">
        <v>178</v>
      </c>
      <c r="E66" s="229">
        <f>'M CÁLCULO'!H20</f>
        <v>31.45</v>
      </c>
      <c r="F66" s="230">
        <v>962.3</v>
      </c>
      <c r="G66" s="231">
        <f>(_xlfn.IFERROR((F66*((1+$G$10))),"-"))</f>
        <v>1217.5</v>
      </c>
      <c r="H66" s="231">
        <f>_xlfn.IFERROR(E66*F66,"-")</f>
        <v>30264.34</v>
      </c>
      <c r="I66" s="231">
        <f>_xlfn.IFERROR(E66*G66,"-")</f>
        <v>38290.38</v>
      </c>
    </row>
    <row r="67" spans="1:9" ht="22.8">
      <c r="A67" s="225" t="s">
        <v>71</v>
      </c>
      <c r="B67" s="226">
        <v>95430</v>
      </c>
      <c r="C67" s="227" t="s">
        <v>72</v>
      </c>
      <c r="D67" s="228" t="s">
        <v>69</v>
      </c>
      <c r="E67" s="229">
        <f>'M CÁLCULO'!$I$20*'M CÁLCULO'!$C$35</f>
        <v>4528.8</v>
      </c>
      <c r="F67" s="230">
        <v>0.31</v>
      </c>
      <c r="G67" s="231">
        <f>(_xlfn.IFERROR((F67*((1+$G$10))),"-"))</f>
        <v>0.39</v>
      </c>
      <c r="H67" s="231">
        <f>_xlfn.IFERROR(E67*F67,"-")</f>
        <v>1403.93</v>
      </c>
      <c r="I67" s="231">
        <f>_xlfn.IFERROR(E67*G67,"-")</f>
        <v>1766.23</v>
      </c>
    </row>
    <row r="68" spans="1:9" ht="15">
      <c r="A68" s="225"/>
      <c r="B68" s="233"/>
      <c r="C68" s="234"/>
      <c r="D68" s="235"/>
      <c r="E68" s="229"/>
      <c r="F68" s="236"/>
      <c r="G68" s="231"/>
      <c r="H68" s="231"/>
      <c r="I68" s="231"/>
    </row>
    <row r="69" spans="1:9" ht="15">
      <c r="A69" s="221" t="s">
        <v>7</v>
      </c>
      <c r="B69" s="221"/>
      <c r="C69" s="222" t="s">
        <v>101</v>
      </c>
      <c r="D69" s="237"/>
      <c r="E69" s="223"/>
      <c r="F69" s="224"/>
      <c r="G69" s="224"/>
      <c r="H69" s="224">
        <f>SUM(H70:H71)</f>
        <v>1002.99</v>
      </c>
      <c r="I69" s="224">
        <f>SUM(I70:I71)</f>
        <v>1269.14</v>
      </c>
    </row>
    <row r="70" spans="1:9" ht="34.2">
      <c r="A70" s="238" t="s">
        <v>31</v>
      </c>
      <c r="B70" s="226">
        <v>72947</v>
      </c>
      <c r="C70" s="227" t="s">
        <v>77</v>
      </c>
      <c r="D70" s="232" t="s">
        <v>9</v>
      </c>
      <c r="E70" s="239">
        <f>'M CÁLCULO'!$D$44+'M CÁLCULO'!$D$63</f>
        <v>53.63</v>
      </c>
      <c r="F70" s="240">
        <v>15.64</v>
      </c>
      <c r="G70" s="231">
        <f>(_xlfn.IFERROR((F70*((1+$G$10))),"-"))</f>
        <v>19.79</v>
      </c>
      <c r="H70" s="241">
        <f aca="true" t="shared" si="8" ref="H70:H71">_xlfn.IFERROR(E70*F70,"-")</f>
        <v>838.77</v>
      </c>
      <c r="I70" s="231">
        <f aca="true" t="shared" si="9" ref="I70:I71">_xlfn.IFERROR(E70*G70,"-")</f>
        <v>1061.34</v>
      </c>
    </row>
    <row r="71" spans="1:9" ht="22.8">
      <c r="A71" s="238" t="s">
        <v>84</v>
      </c>
      <c r="B71" s="226">
        <v>72947</v>
      </c>
      <c r="C71" s="227" t="s">
        <v>85</v>
      </c>
      <c r="D71" s="232" t="s">
        <v>9</v>
      </c>
      <c r="E71" s="239">
        <f>'M CÁLCULO'!$H$84</f>
        <v>10.5</v>
      </c>
      <c r="F71" s="240">
        <v>15.64</v>
      </c>
      <c r="G71" s="231">
        <f>(_xlfn.IFERROR((F71*((1+$G$10))),"-"))</f>
        <v>19.79</v>
      </c>
      <c r="H71" s="241">
        <f t="shared" si="8"/>
        <v>164.22</v>
      </c>
      <c r="I71" s="231">
        <f t="shared" si="9"/>
        <v>207.8</v>
      </c>
    </row>
    <row r="72" spans="1:9" ht="15">
      <c r="A72" s="360" t="s">
        <v>97</v>
      </c>
      <c r="B72" s="361"/>
      <c r="C72" s="361"/>
      <c r="D72" s="361"/>
      <c r="E72" s="361"/>
      <c r="F72" s="361"/>
      <c r="G72" s="362"/>
      <c r="H72" s="243">
        <f>H64+H69</f>
        <v>34330.44</v>
      </c>
      <c r="I72" s="243">
        <f>I64+I69</f>
        <v>43425.28</v>
      </c>
    </row>
    <row r="74" spans="1:9" ht="15">
      <c r="A74" s="363" t="s">
        <v>29</v>
      </c>
      <c r="B74" s="363" t="s">
        <v>3</v>
      </c>
      <c r="C74" s="365" t="str">
        <f>'M CÁLCULO'!$A$21</f>
        <v>ANTONIO CECÍLIO RANGEL (TRECHO 2) - ENTRE CASA DE BEL E MERCADO ENEAS</v>
      </c>
      <c r="D74" s="363" t="s">
        <v>16</v>
      </c>
      <c r="E74" s="356" t="s">
        <v>1</v>
      </c>
      <c r="F74" s="367" t="s">
        <v>2</v>
      </c>
      <c r="G74" s="368"/>
      <c r="H74" s="356" t="s">
        <v>26</v>
      </c>
      <c r="I74" s="358" t="s">
        <v>27</v>
      </c>
    </row>
    <row r="75" spans="1:9" ht="15">
      <c r="A75" s="364"/>
      <c r="B75" s="364"/>
      <c r="C75" s="366"/>
      <c r="D75" s="364"/>
      <c r="E75" s="357"/>
      <c r="F75" s="220" t="s">
        <v>23</v>
      </c>
      <c r="G75" s="220" t="s">
        <v>24</v>
      </c>
      <c r="H75" s="357"/>
      <c r="I75" s="359"/>
    </row>
    <row r="76" spans="1:9" ht="15">
      <c r="A76" s="221" t="s">
        <v>6</v>
      </c>
      <c r="B76" s="221"/>
      <c r="C76" s="222" t="s">
        <v>100</v>
      </c>
      <c r="D76" s="222"/>
      <c r="E76" s="223"/>
      <c r="F76" s="224"/>
      <c r="G76" s="224"/>
      <c r="H76" s="224">
        <f>SUM(H77:H79)</f>
        <v>10851.55</v>
      </c>
      <c r="I76" s="224">
        <f>SUM(I77:I79)</f>
        <v>13726.21</v>
      </c>
    </row>
    <row r="77" spans="1:9" ht="15">
      <c r="A77" s="225" t="s">
        <v>30</v>
      </c>
      <c r="B77" s="226">
        <v>72942</v>
      </c>
      <c r="C77" s="227" t="s">
        <v>66</v>
      </c>
      <c r="D77" s="228" t="s">
        <v>9</v>
      </c>
      <c r="E77" s="229">
        <f>'M CÁLCULO'!F21</f>
        <v>256.12</v>
      </c>
      <c r="F77" s="230">
        <v>2.11</v>
      </c>
      <c r="G77" s="231">
        <f>(_xlfn.IFERROR((F77*((1+$G$10))),"-"))</f>
        <v>2.67</v>
      </c>
      <c r="H77" s="231">
        <f>_xlfn.IFERROR(E77*F77,"-")</f>
        <v>540.41</v>
      </c>
      <c r="I77" s="231">
        <f>_xlfn.IFERROR(E77*G77,"-")</f>
        <v>683.84</v>
      </c>
    </row>
    <row r="78" spans="1:9" ht="23.4">
      <c r="A78" s="225" t="s">
        <v>70</v>
      </c>
      <c r="B78" s="410" t="s">
        <v>176</v>
      </c>
      <c r="C78" s="411" t="s">
        <v>177</v>
      </c>
      <c r="D78" s="228" t="s">
        <v>178</v>
      </c>
      <c r="E78" s="229">
        <f>'M CÁLCULO'!H21</f>
        <v>10.24</v>
      </c>
      <c r="F78" s="230">
        <v>962.3</v>
      </c>
      <c r="G78" s="231">
        <f>(_xlfn.IFERROR((F78*((1+$G$10))),"-"))</f>
        <v>1217.5</v>
      </c>
      <c r="H78" s="231">
        <f>_xlfn.IFERROR(E78*F78,"-")</f>
        <v>9853.95</v>
      </c>
      <c r="I78" s="231">
        <f>_xlfn.IFERROR(E78*G78,"-")</f>
        <v>12467.2</v>
      </c>
    </row>
    <row r="79" spans="1:9" ht="22.8">
      <c r="A79" s="225" t="s">
        <v>71</v>
      </c>
      <c r="B79" s="226">
        <v>95430</v>
      </c>
      <c r="C79" s="227" t="s">
        <v>72</v>
      </c>
      <c r="D79" s="228" t="s">
        <v>69</v>
      </c>
      <c r="E79" s="229">
        <f>'M CÁLCULO'!$I$21*'M CÁLCULO'!$C$35</f>
        <v>1474.8</v>
      </c>
      <c r="F79" s="230">
        <v>0.31</v>
      </c>
      <c r="G79" s="231">
        <f>(_xlfn.IFERROR((F79*((1+$G$10))),"-"))</f>
        <v>0.39</v>
      </c>
      <c r="H79" s="231">
        <f>_xlfn.IFERROR(E79*F79,"-")</f>
        <v>457.19</v>
      </c>
      <c r="I79" s="231">
        <f>_xlfn.IFERROR(E79*G79,"-")</f>
        <v>575.17</v>
      </c>
    </row>
    <row r="80" spans="1:9" ht="15">
      <c r="A80" s="225"/>
      <c r="B80" s="233"/>
      <c r="C80" s="234"/>
      <c r="D80" s="235"/>
      <c r="E80" s="229"/>
      <c r="F80" s="236"/>
      <c r="G80" s="231"/>
      <c r="H80" s="231"/>
      <c r="I80" s="231"/>
    </row>
    <row r="81" spans="1:9" ht="15">
      <c r="A81" s="221" t="s">
        <v>7</v>
      </c>
      <c r="B81" s="221"/>
      <c r="C81" s="222" t="s">
        <v>101</v>
      </c>
      <c r="D81" s="237"/>
      <c r="E81" s="223"/>
      <c r="F81" s="224"/>
      <c r="G81" s="224"/>
      <c r="H81" s="224">
        <f>SUM(H82:H83)</f>
        <v>250.87</v>
      </c>
      <c r="I81" s="224">
        <f>SUM(I82:I83)</f>
        <v>317.43</v>
      </c>
    </row>
    <row r="82" spans="1:9" ht="34.2">
      <c r="A82" s="238" t="s">
        <v>31</v>
      </c>
      <c r="B82" s="226">
        <v>72947</v>
      </c>
      <c r="C82" s="227" t="s">
        <v>77</v>
      </c>
      <c r="D82" s="232" t="s">
        <v>9</v>
      </c>
      <c r="E82" s="239">
        <f>'M CÁLCULO'!$D$45+'M CÁLCULO'!$D$64</f>
        <v>16.04</v>
      </c>
      <c r="F82" s="240">
        <v>15.64</v>
      </c>
      <c r="G82" s="231">
        <f>(_xlfn.IFERROR((F82*((1+$G$10))),"-"))</f>
        <v>19.79</v>
      </c>
      <c r="H82" s="241">
        <f aca="true" t="shared" si="10" ref="H82:H83">_xlfn.IFERROR(E82*F82,"-")</f>
        <v>250.87</v>
      </c>
      <c r="I82" s="231">
        <f aca="true" t="shared" si="11" ref="I82:I83">_xlfn.IFERROR(E82*G82,"-")</f>
        <v>317.43</v>
      </c>
    </row>
    <row r="83" spans="1:9" ht="22.8">
      <c r="A83" s="238" t="s">
        <v>84</v>
      </c>
      <c r="B83" s="226">
        <v>72947</v>
      </c>
      <c r="C83" s="227" t="s">
        <v>85</v>
      </c>
      <c r="D83" s="232" t="s">
        <v>9</v>
      </c>
      <c r="E83" s="239">
        <f>'M CÁLCULO'!$H$85</f>
        <v>0</v>
      </c>
      <c r="F83" s="240">
        <v>15.64</v>
      </c>
      <c r="G83" s="231">
        <f>(_xlfn.IFERROR((F83*((1+$G$10))),"-"))</f>
        <v>19.79</v>
      </c>
      <c r="H83" s="241">
        <f t="shared" si="10"/>
        <v>0</v>
      </c>
      <c r="I83" s="231">
        <f t="shared" si="11"/>
        <v>0</v>
      </c>
    </row>
    <row r="84" spans="1:9" ht="15">
      <c r="A84" s="360" t="s">
        <v>97</v>
      </c>
      <c r="B84" s="361"/>
      <c r="C84" s="361"/>
      <c r="D84" s="361"/>
      <c r="E84" s="361"/>
      <c r="F84" s="361"/>
      <c r="G84" s="362"/>
      <c r="H84" s="243">
        <f>H76+H81</f>
        <v>11102.42</v>
      </c>
      <c r="I84" s="243">
        <f>I76+I81</f>
        <v>14043.64</v>
      </c>
    </row>
    <row r="86" spans="1:9" ht="15">
      <c r="A86" s="363" t="s">
        <v>29</v>
      </c>
      <c r="B86" s="363" t="s">
        <v>3</v>
      </c>
      <c r="C86" s="365" t="str">
        <f>'M CÁLCULO'!$A$22</f>
        <v>TRAVESSA AMARO GOMES</v>
      </c>
      <c r="D86" s="363" t="s">
        <v>16</v>
      </c>
      <c r="E86" s="356" t="s">
        <v>1</v>
      </c>
      <c r="F86" s="367" t="s">
        <v>2</v>
      </c>
      <c r="G86" s="368"/>
      <c r="H86" s="356" t="s">
        <v>26</v>
      </c>
      <c r="I86" s="358" t="s">
        <v>27</v>
      </c>
    </row>
    <row r="87" spans="1:9" ht="15">
      <c r="A87" s="364"/>
      <c r="B87" s="364"/>
      <c r="C87" s="366"/>
      <c r="D87" s="364"/>
      <c r="E87" s="357"/>
      <c r="F87" s="220" t="s">
        <v>23</v>
      </c>
      <c r="G87" s="220" t="s">
        <v>24</v>
      </c>
      <c r="H87" s="357"/>
      <c r="I87" s="359"/>
    </row>
    <row r="88" spans="1:9" ht="15">
      <c r="A88" s="221" t="s">
        <v>6</v>
      </c>
      <c r="B88" s="221"/>
      <c r="C88" s="222" t="s">
        <v>100</v>
      </c>
      <c r="D88" s="222"/>
      <c r="E88" s="223"/>
      <c r="F88" s="224"/>
      <c r="G88" s="224"/>
      <c r="H88" s="224">
        <f>SUM(H89:H91)</f>
        <v>8626.01</v>
      </c>
      <c r="I88" s="224">
        <f>SUM(I89:I91)</f>
        <v>10911.12</v>
      </c>
    </row>
    <row r="89" spans="1:9" ht="15">
      <c r="A89" s="225" t="s">
        <v>30</v>
      </c>
      <c r="B89" s="226">
        <v>72942</v>
      </c>
      <c r="C89" s="227" t="s">
        <v>66</v>
      </c>
      <c r="D89" s="228" t="s">
        <v>9</v>
      </c>
      <c r="E89" s="229">
        <f>'M CÁLCULO'!F22</f>
        <v>203.53</v>
      </c>
      <c r="F89" s="230">
        <v>2.11</v>
      </c>
      <c r="G89" s="231">
        <f>(_xlfn.IFERROR((F89*((1+$G$10))),"-"))</f>
        <v>2.67</v>
      </c>
      <c r="H89" s="231">
        <f>_xlfn.IFERROR(E89*F89,"-")</f>
        <v>429.45</v>
      </c>
      <c r="I89" s="231">
        <f>_xlfn.IFERROR(E89*G89,"-")</f>
        <v>543.43</v>
      </c>
    </row>
    <row r="90" spans="1:9" ht="23.4">
      <c r="A90" s="225" t="s">
        <v>70</v>
      </c>
      <c r="B90" s="410" t="s">
        <v>176</v>
      </c>
      <c r="C90" s="411" t="s">
        <v>177</v>
      </c>
      <c r="D90" s="228" t="s">
        <v>178</v>
      </c>
      <c r="E90" s="229">
        <f>'M CÁLCULO'!H22</f>
        <v>8.14</v>
      </c>
      <c r="F90" s="230">
        <v>962.3</v>
      </c>
      <c r="G90" s="231">
        <f>(_xlfn.IFERROR((F90*((1+$G$10))),"-"))</f>
        <v>1217.5</v>
      </c>
      <c r="H90" s="231">
        <f>_xlfn.IFERROR(E90*F90,"-")</f>
        <v>7833.12</v>
      </c>
      <c r="I90" s="231">
        <f>_xlfn.IFERROR(E90*G90,"-")</f>
        <v>9910.45</v>
      </c>
    </row>
    <row r="91" spans="1:9" ht="22.8">
      <c r="A91" s="225" t="s">
        <v>71</v>
      </c>
      <c r="B91" s="226">
        <v>95430</v>
      </c>
      <c r="C91" s="227" t="s">
        <v>72</v>
      </c>
      <c r="D91" s="228" t="s">
        <v>69</v>
      </c>
      <c r="E91" s="229">
        <f>'M CÁLCULO'!$I$22*'M CÁLCULO'!$C$35</f>
        <v>1172.4</v>
      </c>
      <c r="F91" s="230">
        <v>0.31</v>
      </c>
      <c r="G91" s="231">
        <f>(_xlfn.IFERROR((F91*((1+$G$10))),"-"))</f>
        <v>0.39</v>
      </c>
      <c r="H91" s="231">
        <f>_xlfn.IFERROR(E91*F91,"-")</f>
        <v>363.44</v>
      </c>
      <c r="I91" s="231">
        <f>_xlfn.IFERROR(E91*G91,"-")</f>
        <v>457.24</v>
      </c>
    </row>
    <row r="92" spans="1:9" ht="15">
      <c r="A92" s="225"/>
      <c r="B92" s="233"/>
      <c r="C92" s="234"/>
      <c r="D92" s="235"/>
      <c r="E92" s="229"/>
      <c r="F92" s="236"/>
      <c r="G92" s="231"/>
      <c r="H92" s="231"/>
      <c r="I92" s="231"/>
    </row>
    <row r="93" spans="1:9" ht="15">
      <c r="A93" s="221" t="s">
        <v>7</v>
      </c>
      <c r="B93" s="221"/>
      <c r="C93" s="222" t="s">
        <v>101</v>
      </c>
      <c r="D93" s="237"/>
      <c r="E93" s="223"/>
      <c r="F93" s="224"/>
      <c r="G93" s="224"/>
      <c r="H93" s="224">
        <f>SUM(H94:H95)</f>
        <v>489.84</v>
      </c>
      <c r="I93" s="224">
        <f>SUM(I94:I95)</f>
        <v>619.82</v>
      </c>
    </row>
    <row r="94" spans="1:9" ht="34.2">
      <c r="A94" s="238" t="s">
        <v>31</v>
      </c>
      <c r="B94" s="226">
        <v>72947</v>
      </c>
      <c r="C94" s="227" t="s">
        <v>77</v>
      </c>
      <c r="D94" s="232" t="s">
        <v>9</v>
      </c>
      <c r="E94" s="239">
        <f>'M CÁLCULO'!$D$46+'M CÁLCULO'!$D$65</f>
        <v>31.32</v>
      </c>
      <c r="F94" s="240">
        <v>15.64</v>
      </c>
      <c r="G94" s="231">
        <f>(_xlfn.IFERROR((F94*((1+$G$10))),"-"))</f>
        <v>19.79</v>
      </c>
      <c r="H94" s="241">
        <f aca="true" t="shared" si="12" ref="H94:H95">_xlfn.IFERROR(E94*F94,"-")</f>
        <v>489.84</v>
      </c>
      <c r="I94" s="231">
        <f aca="true" t="shared" si="13" ref="I94:I95">_xlfn.IFERROR(E94*G94,"-")</f>
        <v>619.82</v>
      </c>
    </row>
    <row r="95" spans="1:9" ht="22.8">
      <c r="A95" s="238" t="s">
        <v>84</v>
      </c>
      <c r="B95" s="226">
        <v>72947</v>
      </c>
      <c r="C95" s="227" t="s">
        <v>85</v>
      </c>
      <c r="D95" s="232" t="s">
        <v>9</v>
      </c>
      <c r="E95" s="239">
        <f>'M CÁLCULO'!$H$86</f>
        <v>0</v>
      </c>
      <c r="F95" s="240">
        <v>15.64</v>
      </c>
      <c r="G95" s="231">
        <f>(_xlfn.IFERROR((F95*((1+$G$10))),"-"))</f>
        <v>19.79</v>
      </c>
      <c r="H95" s="241">
        <f t="shared" si="12"/>
        <v>0</v>
      </c>
      <c r="I95" s="231">
        <f t="shared" si="13"/>
        <v>0</v>
      </c>
    </row>
    <row r="96" spans="1:9" ht="15">
      <c r="A96" s="360" t="s">
        <v>97</v>
      </c>
      <c r="B96" s="361"/>
      <c r="C96" s="361"/>
      <c r="D96" s="361"/>
      <c r="E96" s="361"/>
      <c r="F96" s="361"/>
      <c r="G96" s="362"/>
      <c r="H96" s="243">
        <f>H88+H93</f>
        <v>9115.85</v>
      </c>
      <c r="I96" s="243">
        <f>I88+I93</f>
        <v>11530.94</v>
      </c>
    </row>
    <row r="98" spans="1:9" ht="15">
      <c r="A98" s="363" t="s">
        <v>29</v>
      </c>
      <c r="B98" s="363" t="s">
        <v>3</v>
      </c>
      <c r="C98" s="365" t="str">
        <f>'M CÁLCULO'!$A$23</f>
        <v>RUA CÍCERO CÂNDIDO (TRECHO 1) - ENTRE MARIANO GOMES E OSMUNDO B.</v>
      </c>
      <c r="D98" s="363" t="s">
        <v>16</v>
      </c>
      <c r="E98" s="356" t="s">
        <v>1</v>
      </c>
      <c r="F98" s="367" t="s">
        <v>2</v>
      </c>
      <c r="G98" s="368"/>
      <c r="H98" s="356" t="s">
        <v>26</v>
      </c>
      <c r="I98" s="358" t="s">
        <v>27</v>
      </c>
    </row>
    <row r="99" spans="1:9" ht="15">
      <c r="A99" s="364"/>
      <c r="B99" s="364"/>
      <c r="C99" s="366"/>
      <c r="D99" s="364"/>
      <c r="E99" s="357"/>
      <c r="F99" s="220" t="s">
        <v>23</v>
      </c>
      <c r="G99" s="220" t="s">
        <v>24</v>
      </c>
      <c r="H99" s="357"/>
      <c r="I99" s="359"/>
    </row>
    <row r="100" spans="1:9" ht="15">
      <c r="A100" s="221" t="s">
        <v>6</v>
      </c>
      <c r="B100" s="221"/>
      <c r="C100" s="222" t="s">
        <v>100</v>
      </c>
      <c r="D100" s="222"/>
      <c r="E100" s="223"/>
      <c r="F100" s="224"/>
      <c r="G100" s="224"/>
      <c r="H100" s="224">
        <f>SUM(H101:H103)</f>
        <v>36198.92</v>
      </c>
      <c r="I100" s="224">
        <f>SUM(I101:I103)</f>
        <v>45788.28</v>
      </c>
    </row>
    <row r="101" spans="1:9" ht="15">
      <c r="A101" s="225" t="s">
        <v>30</v>
      </c>
      <c r="B101" s="226">
        <v>72942</v>
      </c>
      <c r="C101" s="227" t="s">
        <v>66</v>
      </c>
      <c r="D101" s="228" t="s">
        <v>9</v>
      </c>
      <c r="E101" s="229">
        <f>'M CÁLCULO'!F23</f>
        <v>853.99</v>
      </c>
      <c r="F101" s="230">
        <v>2.11</v>
      </c>
      <c r="G101" s="231">
        <f>(_xlfn.IFERROR((F101*((1+$G$10))),"-"))</f>
        <v>2.67</v>
      </c>
      <c r="H101" s="231">
        <f>_xlfn.IFERROR(E101*F101,"-")</f>
        <v>1801.92</v>
      </c>
      <c r="I101" s="231">
        <f>_xlfn.IFERROR(E101*G101,"-")</f>
        <v>2280.15</v>
      </c>
    </row>
    <row r="102" spans="1:9" ht="23.4">
      <c r="A102" s="225" t="s">
        <v>70</v>
      </c>
      <c r="B102" s="410" t="s">
        <v>176</v>
      </c>
      <c r="C102" s="411" t="s">
        <v>177</v>
      </c>
      <c r="D102" s="228" t="s">
        <v>178</v>
      </c>
      <c r="E102" s="229">
        <f>'M CÁLCULO'!H23</f>
        <v>34.16</v>
      </c>
      <c r="F102" s="230">
        <v>962.3</v>
      </c>
      <c r="G102" s="231">
        <f>(_xlfn.IFERROR((F102*((1+$G$10))),"-"))</f>
        <v>1217.5</v>
      </c>
      <c r="H102" s="231">
        <f>_xlfn.IFERROR(E102*F102,"-")</f>
        <v>32872.17</v>
      </c>
      <c r="I102" s="231">
        <f>_xlfn.IFERROR(E102*G102,"-")</f>
        <v>41589.8</v>
      </c>
    </row>
    <row r="103" spans="1:9" ht="22.8">
      <c r="A103" s="225" t="s">
        <v>71</v>
      </c>
      <c r="B103" s="226">
        <v>95430</v>
      </c>
      <c r="C103" s="227" t="s">
        <v>72</v>
      </c>
      <c r="D103" s="228" t="s">
        <v>69</v>
      </c>
      <c r="E103" s="229">
        <f>'M CÁLCULO'!$I$23*'M CÁLCULO'!$C$35</f>
        <v>4918.8</v>
      </c>
      <c r="F103" s="230">
        <v>0.31</v>
      </c>
      <c r="G103" s="231">
        <f>(_xlfn.IFERROR((F103*((1+$G$10))),"-"))</f>
        <v>0.39</v>
      </c>
      <c r="H103" s="231">
        <f>_xlfn.IFERROR(E103*F103,"-")</f>
        <v>1524.83</v>
      </c>
      <c r="I103" s="231">
        <f>_xlfn.IFERROR(E103*G103,"-")</f>
        <v>1918.33</v>
      </c>
    </row>
    <row r="104" spans="1:9" ht="15">
      <c r="A104" s="225"/>
      <c r="B104" s="233"/>
      <c r="C104" s="234"/>
      <c r="D104" s="235"/>
      <c r="E104" s="229"/>
      <c r="F104" s="236"/>
      <c r="G104" s="231"/>
      <c r="H104" s="231"/>
      <c r="I104" s="231"/>
    </row>
    <row r="105" spans="1:9" ht="15">
      <c r="A105" s="221" t="s">
        <v>7</v>
      </c>
      <c r="B105" s="221"/>
      <c r="C105" s="222" t="s">
        <v>101</v>
      </c>
      <c r="D105" s="237"/>
      <c r="E105" s="223"/>
      <c r="F105" s="224"/>
      <c r="G105" s="224"/>
      <c r="H105" s="224">
        <f>SUM(H106:H107)</f>
        <v>878.66</v>
      </c>
      <c r="I105" s="224">
        <f>SUM(I106:I107)</f>
        <v>1111.8</v>
      </c>
    </row>
    <row r="106" spans="1:9" ht="34.2">
      <c r="A106" s="238" t="s">
        <v>31</v>
      </c>
      <c r="B106" s="226">
        <v>72947</v>
      </c>
      <c r="C106" s="227" t="s">
        <v>77</v>
      </c>
      <c r="D106" s="232" t="s">
        <v>9</v>
      </c>
      <c r="E106" s="239">
        <f>'M CÁLCULO'!$D$47+'M CÁLCULO'!$D$66</f>
        <v>56.18</v>
      </c>
      <c r="F106" s="240">
        <v>15.64</v>
      </c>
      <c r="G106" s="231">
        <f>(_xlfn.IFERROR((F106*((1+$G$10))),"-"))</f>
        <v>19.79</v>
      </c>
      <c r="H106" s="241">
        <f aca="true" t="shared" si="14" ref="H106:H107">_xlfn.IFERROR(E106*F106,"-")</f>
        <v>878.66</v>
      </c>
      <c r="I106" s="231">
        <f aca="true" t="shared" si="15" ref="I106:I107">_xlfn.IFERROR(E106*G106,"-")</f>
        <v>1111.8</v>
      </c>
    </row>
    <row r="107" spans="1:9" ht="22.8">
      <c r="A107" s="238" t="s">
        <v>84</v>
      </c>
      <c r="B107" s="226">
        <v>72947</v>
      </c>
      <c r="C107" s="227" t="s">
        <v>85</v>
      </c>
      <c r="D107" s="232" t="s">
        <v>9</v>
      </c>
      <c r="E107" s="239">
        <f>'M CÁLCULO'!$H$87</f>
        <v>0</v>
      </c>
      <c r="F107" s="240">
        <v>15.64</v>
      </c>
      <c r="G107" s="231">
        <f>(_xlfn.IFERROR((F107*((1+$G$10))),"-"))</f>
        <v>19.79</v>
      </c>
      <c r="H107" s="241">
        <f t="shared" si="14"/>
        <v>0</v>
      </c>
      <c r="I107" s="231">
        <f t="shared" si="15"/>
        <v>0</v>
      </c>
    </row>
    <row r="108" spans="1:9" ht="15">
      <c r="A108" s="360" t="s">
        <v>97</v>
      </c>
      <c r="B108" s="361"/>
      <c r="C108" s="361"/>
      <c r="D108" s="361"/>
      <c r="E108" s="361"/>
      <c r="F108" s="361"/>
      <c r="G108" s="362"/>
      <c r="H108" s="243">
        <f>H100+H105</f>
        <v>37077.58</v>
      </c>
      <c r="I108" s="243">
        <f>I100+I105</f>
        <v>46900.08</v>
      </c>
    </row>
    <row r="110" spans="1:9" ht="15">
      <c r="A110" s="363" t="s">
        <v>29</v>
      </c>
      <c r="B110" s="363" t="s">
        <v>3</v>
      </c>
      <c r="C110" s="365" t="str">
        <f>'M CÁLCULO'!$A$24</f>
        <v>RUA CÍCERO CÂNDIDO (TRECHO 2) - ENTRE OSMUNDO B. E AV DAVID JACINTO</v>
      </c>
      <c r="D110" s="363" t="s">
        <v>16</v>
      </c>
      <c r="E110" s="356" t="s">
        <v>1</v>
      </c>
      <c r="F110" s="367" t="s">
        <v>2</v>
      </c>
      <c r="G110" s="368"/>
      <c r="H110" s="356" t="s">
        <v>26</v>
      </c>
      <c r="I110" s="358" t="s">
        <v>27</v>
      </c>
    </row>
    <row r="111" spans="1:9" ht="15">
      <c r="A111" s="364"/>
      <c r="B111" s="364"/>
      <c r="C111" s="366"/>
      <c r="D111" s="364"/>
      <c r="E111" s="357"/>
      <c r="F111" s="220" t="s">
        <v>23</v>
      </c>
      <c r="G111" s="220" t="s">
        <v>24</v>
      </c>
      <c r="H111" s="357"/>
      <c r="I111" s="359"/>
    </row>
    <row r="112" spans="1:9" ht="15">
      <c r="A112" s="221" t="s">
        <v>6</v>
      </c>
      <c r="B112" s="221"/>
      <c r="C112" s="222" t="s">
        <v>100</v>
      </c>
      <c r="D112" s="222"/>
      <c r="E112" s="223"/>
      <c r="F112" s="224"/>
      <c r="G112" s="224"/>
      <c r="H112" s="224">
        <f>SUM(H113:H115)</f>
        <v>8901.38</v>
      </c>
      <c r="I112" s="224">
        <f>SUM(I113:I115)</f>
        <v>11259.41</v>
      </c>
    </row>
    <row r="113" spans="1:9" ht="15">
      <c r="A113" s="225" t="s">
        <v>30</v>
      </c>
      <c r="B113" s="226">
        <v>72942</v>
      </c>
      <c r="C113" s="227" t="s">
        <v>66</v>
      </c>
      <c r="D113" s="228" t="s">
        <v>9</v>
      </c>
      <c r="E113" s="229">
        <f>'M CÁLCULO'!F24</f>
        <v>209.99</v>
      </c>
      <c r="F113" s="230">
        <v>2.11</v>
      </c>
      <c r="G113" s="231">
        <f>(_xlfn.IFERROR((F113*((1+$G$10))),"-"))</f>
        <v>2.67</v>
      </c>
      <c r="H113" s="231">
        <f>_xlfn.IFERROR(E113*F113,"-")</f>
        <v>443.08</v>
      </c>
      <c r="I113" s="231">
        <f>_xlfn.IFERROR(E113*G113,"-")</f>
        <v>560.67</v>
      </c>
    </row>
    <row r="114" spans="1:9" ht="23.4">
      <c r="A114" s="225" t="s">
        <v>70</v>
      </c>
      <c r="B114" s="410" t="s">
        <v>176</v>
      </c>
      <c r="C114" s="411" t="s">
        <v>177</v>
      </c>
      <c r="D114" s="228" t="s">
        <v>178</v>
      </c>
      <c r="E114" s="229">
        <f>'M CÁLCULO'!H24</f>
        <v>8.4</v>
      </c>
      <c r="F114" s="230">
        <v>962.3</v>
      </c>
      <c r="G114" s="231">
        <f>(_xlfn.IFERROR((F114*((1+$G$10))),"-"))</f>
        <v>1217.5</v>
      </c>
      <c r="H114" s="231">
        <f>_xlfn.IFERROR(E114*F114,"-")</f>
        <v>8083.32</v>
      </c>
      <c r="I114" s="231">
        <f>_xlfn.IFERROR(E114*G114,"-")</f>
        <v>10227</v>
      </c>
    </row>
    <row r="115" spans="1:9" ht="22.8">
      <c r="A115" s="225" t="s">
        <v>71</v>
      </c>
      <c r="B115" s="226">
        <v>95430</v>
      </c>
      <c r="C115" s="227" t="s">
        <v>72</v>
      </c>
      <c r="D115" s="228" t="s">
        <v>69</v>
      </c>
      <c r="E115" s="229">
        <f>'M CÁLCULO'!$I$24*'M CÁLCULO'!$C$35</f>
        <v>1209.6</v>
      </c>
      <c r="F115" s="230">
        <v>0.31</v>
      </c>
      <c r="G115" s="231">
        <f>(_xlfn.IFERROR((F115*((1+$G$10))),"-"))</f>
        <v>0.39</v>
      </c>
      <c r="H115" s="231">
        <f>_xlfn.IFERROR(E115*F115,"-")</f>
        <v>374.98</v>
      </c>
      <c r="I115" s="231">
        <f>_xlfn.IFERROR(E115*G115,"-")</f>
        <v>471.74</v>
      </c>
    </row>
    <row r="116" spans="1:9" ht="15">
      <c r="A116" s="225"/>
      <c r="B116" s="233"/>
      <c r="C116" s="234"/>
      <c r="D116" s="235"/>
      <c r="E116" s="229"/>
      <c r="F116" s="236"/>
      <c r="G116" s="231"/>
      <c r="H116" s="231"/>
      <c r="I116" s="231"/>
    </row>
    <row r="117" spans="1:9" ht="15">
      <c r="A117" s="221" t="s">
        <v>7</v>
      </c>
      <c r="B117" s="221"/>
      <c r="C117" s="222" t="s">
        <v>101</v>
      </c>
      <c r="D117" s="237"/>
      <c r="E117" s="223"/>
      <c r="F117" s="224"/>
      <c r="G117" s="224"/>
      <c r="H117" s="224">
        <f>SUM(H118:H119)</f>
        <v>387.09</v>
      </c>
      <c r="I117" s="224">
        <f>SUM(I118:I119)</f>
        <v>489.8</v>
      </c>
    </row>
    <row r="118" spans="1:9" ht="34.2">
      <c r="A118" s="238" t="s">
        <v>31</v>
      </c>
      <c r="B118" s="226">
        <v>72947</v>
      </c>
      <c r="C118" s="227" t="s">
        <v>77</v>
      </c>
      <c r="D118" s="232" t="s">
        <v>9</v>
      </c>
      <c r="E118" s="239">
        <f>'M CÁLCULO'!$D$48+'M CÁLCULO'!$D$67</f>
        <v>13.9</v>
      </c>
      <c r="F118" s="240">
        <v>15.64</v>
      </c>
      <c r="G118" s="231">
        <f>(_xlfn.IFERROR((F118*((1+$G$10))),"-"))</f>
        <v>19.79</v>
      </c>
      <c r="H118" s="241">
        <f aca="true" t="shared" si="16" ref="H118:H119">_xlfn.IFERROR(E118*F118,"-")</f>
        <v>217.4</v>
      </c>
      <c r="I118" s="231">
        <f aca="true" t="shared" si="17" ref="I118:I119">_xlfn.IFERROR(E118*G118,"-")</f>
        <v>275.08</v>
      </c>
    </row>
    <row r="119" spans="1:9" ht="22.8">
      <c r="A119" s="238" t="s">
        <v>84</v>
      </c>
      <c r="B119" s="226">
        <v>72947</v>
      </c>
      <c r="C119" s="227" t="s">
        <v>85</v>
      </c>
      <c r="D119" s="232" t="s">
        <v>9</v>
      </c>
      <c r="E119" s="239">
        <f>'M CÁLCULO'!$H$88</f>
        <v>10.85</v>
      </c>
      <c r="F119" s="240">
        <v>15.64</v>
      </c>
      <c r="G119" s="231">
        <f>(_xlfn.IFERROR((F119*((1+$G$10))),"-"))</f>
        <v>19.79</v>
      </c>
      <c r="H119" s="241">
        <f t="shared" si="16"/>
        <v>169.69</v>
      </c>
      <c r="I119" s="231">
        <f t="shared" si="17"/>
        <v>214.72</v>
      </c>
    </row>
    <row r="120" spans="1:9" ht="15">
      <c r="A120" s="360" t="s">
        <v>97</v>
      </c>
      <c r="B120" s="361"/>
      <c r="C120" s="361"/>
      <c r="D120" s="361"/>
      <c r="E120" s="361"/>
      <c r="F120" s="361"/>
      <c r="G120" s="362"/>
      <c r="H120" s="243">
        <f>H112+H117</f>
        <v>9288.47</v>
      </c>
      <c r="I120" s="243">
        <f>I112+I117</f>
        <v>11749.21</v>
      </c>
    </row>
    <row r="122" spans="1:9" ht="15">
      <c r="A122" s="363" t="s">
        <v>29</v>
      </c>
      <c r="B122" s="363" t="s">
        <v>3</v>
      </c>
      <c r="C122" s="365" t="str">
        <f>'M CÁLCULO'!$A$25</f>
        <v>RUA CÍCERO CÂNDIDO (TRECHO 3) - ENTRE AV DAVID JACINTO E AGAMENON M.</v>
      </c>
      <c r="D122" s="363" t="s">
        <v>16</v>
      </c>
      <c r="E122" s="356" t="s">
        <v>1</v>
      </c>
      <c r="F122" s="367" t="s">
        <v>2</v>
      </c>
      <c r="G122" s="368"/>
      <c r="H122" s="356" t="s">
        <v>26</v>
      </c>
      <c r="I122" s="358" t="s">
        <v>27</v>
      </c>
    </row>
    <row r="123" spans="1:9" ht="15">
      <c r="A123" s="364"/>
      <c r="B123" s="364"/>
      <c r="C123" s="366"/>
      <c r="D123" s="364"/>
      <c r="E123" s="357"/>
      <c r="F123" s="220" t="s">
        <v>23</v>
      </c>
      <c r="G123" s="220" t="s">
        <v>24</v>
      </c>
      <c r="H123" s="357"/>
      <c r="I123" s="359"/>
    </row>
    <row r="124" spans="1:9" ht="15">
      <c r="A124" s="221" t="s">
        <v>6</v>
      </c>
      <c r="B124" s="221"/>
      <c r="C124" s="222" t="s">
        <v>100</v>
      </c>
      <c r="D124" s="222"/>
      <c r="E124" s="223"/>
      <c r="F124" s="224"/>
      <c r="G124" s="224"/>
      <c r="H124" s="224">
        <f>SUM(H125:H127)</f>
        <v>18290.43</v>
      </c>
      <c r="I124" s="224">
        <f>SUM(I125:I127)</f>
        <v>23135.71</v>
      </c>
    </row>
    <row r="125" spans="1:9" ht="15">
      <c r="A125" s="225" t="s">
        <v>30</v>
      </c>
      <c r="B125" s="226">
        <v>72942</v>
      </c>
      <c r="C125" s="227" t="s">
        <v>66</v>
      </c>
      <c r="D125" s="228" t="s">
        <v>9</v>
      </c>
      <c r="E125" s="229">
        <f>'M CÁLCULO'!F25</f>
        <v>431.62</v>
      </c>
      <c r="F125" s="230">
        <v>2.11</v>
      </c>
      <c r="G125" s="231">
        <f>(_xlfn.IFERROR((F125*((1+$G$10))),"-"))</f>
        <v>2.67</v>
      </c>
      <c r="H125" s="231">
        <f>_xlfn.IFERROR(E125*F125,"-")</f>
        <v>910.72</v>
      </c>
      <c r="I125" s="231">
        <f>_xlfn.IFERROR(E125*G125,"-")</f>
        <v>1152.43</v>
      </c>
    </row>
    <row r="126" spans="1:9" ht="23.4">
      <c r="A126" s="225" t="s">
        <v>70</v>
      </c>
      <c r="B126" s="410" t="s">
        <v>176</v>
      </c>
      <c r="C126" s="411" t="s">
        <v>177</v>
      </c>
      <c r="D126" s="228" t="s">
        <v>178</v>
      </c>
      <c r="E126" s="229">
        <f>'M CÁLCULO'!H25</f>
        <v>17.26</v>
      </c>
      <c r="F126" s="230">
        <v>962.3</v>
      </c>
      <c r="G126" s="231">
        <f>(_xlfn.IFERROR((F126*((1+$G$10))),"-"))</f>
        <v>1217.5</v>
      </c>
      <c r="H126" s="231">
        <f>_xlfn.IFERROR(E126*F126,"-")</f>
        <v>16609.3</v>
      </c>
      <c r="I126" s="231">
        <f>_xlfn.IFERROR(E126*G126,"-")</f>
        <v>21014.05</v>
      </c>
    </row>
    <row r="127" spans="1:9" ht="22.8">
      <c r="A127" s="225" t="s">
        <v>71</v>
      </c>
      <c r="B127" s="226">
        <v>95430</v>
      </c>
      <c r="C127" s="227" t="s">
        <v>72</v>
      </c>
      <c r="D127" s="228" t="s">
        <v>69</v>
      </c>
      <c r="E127" s="229">
        <f>'M CÁLCULO'!$I$25*'M CÁLCULO'!$C$35</f>
        <v>2485.2</v>
      </c>
      <c r="F127" s="230">
        <v>0.31</v>
      </c>
      <c r="G127" s="231">
        <f>(_xlfn.IFERROR((F127*((1+$G$10))),"-"))</f>
        <v>0.39</v>
      </c>
      <c r="H127" s="231">
        <f>_xlfn.IFERROR(E127*F127,"-")</f>
        <v>770.41</v>
      </c>
      <c r="I127" s="231">
        <f>_xlfn.IFERROR(E127*G127,"-")</f>
        <v>969.23</v>
      </c>
    </row>
    <row r="128" spans="1:9" ht="15">
      <c r="A128" s="225"/>
      <c r="B128" s="233"/>
      <c r="C128" s="234"/>
      <c r="D128" s="235"/>
      <c r="E128" s="229"/>
      <c r="F128" s="236"/>
      <c r="G128" s="231"/>
      <c r="H128" s="231"/>
      <c r="I128" s="231"/>
    </row>
    <row r="129" spans="1:9" ht="15">
      <c r="A129" s="221" t="s">
        <v>7</v>
      </c>
      <c r="B129" s="221"/>
      <c r="C129" s="222" t="s">
        <v>101</v>
      </c>
      <c r="D129" s="237"/>
      <c r="E129" s="223"/>
      <c r="F129" s="224"/>
      <c r="G129" s="224"/>
      <c r="H129" s="224">
        <f>SUM(H130:H131)</f>
        <v>462.79</v>
      </c>
      <c r="I129" s="224">
        <f>SUM(I130:I131)</f>
        <v>585.59</v>
      </c>
    </row>
    <row r="130" spans="1:9" ht="34.2">
      <c r="A130" s="238" t="s">
        <v>31</v>
      </c>
      <c r="B130" s="226">
        <v>72947</v>
      </c>
      <c r="C130" s="227" t="s">
        <v>77</v>
      </c>
      <c r="D130" s="232" t="s">
        <v>9</v>
      </c>
      <c r="E130" s="239">
        <f>'M CÁLCULO'!$D$49+'M CÁLCULO'!$D$68</f>
        <v>29.59</v>
      </c>
      <c r="F130" s="240">
        <v>15.64</v>
      </c>
      <c r="G130" s="231">
        <f>(_xlfn.IFERROR((F130*((1+$G$10))),"-"))</f>
        <v>19.79</v>
      </c>
      <c r="H130" s="241">
        <f aca="true" t="shared" si="18" ref="H130:H131">_xlfn.IFERROR(E130*F130,"-")</f>
        <v>462.79</v>
      </c>
      <c r="I130" s="231">
        <f aca="true" t="shared" si="19" ref="I130:I131">_xlfn.IFERROR(E130*G130,"-")</f>
        <v>585.59</v>
      </c>
    </row>
    <row r="131" spans="1:9" ht="22.8">
      <c r="A131" s="238" t="s">
        <v>84</v>
      </c>
      <c r="B131" s="226">
        <v>72947</v>
      </c>
      <c r="C131" s="227" t="s">
        <v>85</v>
      </c>
      <c r="D131" s="232" t="s">
        <v>9</v>
      </c>
      <c r="E131" s="239">
        <f>'M CÁLCULO'!$H$89</f>
        <v>0</v>
      </c>
      <c r="F131" s="240">
        <v>15.64</v>
      </c>
      <c r="G131" s="231">
        <f>(_xlfn.IFERROR((F131*((1+$G$10))),"-"))</f>
        <v>19.79</v>
      </c>
      <c r="H131" s="241">
        <f t="shared" si="18"/>
        <v>0</v>
      </c>
      <c r="I131" s="231">
        <f t="shared" si="19"/>
        <v>0</v>
      </c>
    </row>
    <row r="132" spans="1:9" ht="15">
      <c r="A132" s="360" t="s">
        <v>97</v>
      </c>
      <c r="B132" s="361"/>
      <c r="C132" s="361"/>
      <c r="D132" s="361"/>
      <c r="E132" s="361"/>
      <c r="F132" s="361"/>
      <c r="G132" s="362"/>
      <c r="H132" s="243">
        <f>H124+H129</f>
        <v>18753.22</v>
      </c>
      <c r="I132" s="243">
        <f>I124+I129</f>
        <v>23721.3</v>
      </c>
    </row>
    <row r="134" spans="1:9" ht="15">
      <c r="A134" s="363" t="s">
        <v>29</v>
      </c>
      <c r="B134" s="363" t="s">
        <v>3</v>
      </c>
      <c r="C134" s="365" t="str">
        <f>'M CÁLCULO'!$A$26</f>
        <v>RUA JANUÁRIO NUNES</v>
      </c>
      <c r="D134" s="363" t="s">
        <v>16</v>
      </c>
      <c r="E134" s="356" t="s">
        <v>1</v>
      </c>
      <c r="F134" s="367" t="s">
        <v>2</v>
      </c>
      <c r="G134" s="368"/>
      <c r="H134" s="356" t="s">
        <v>26</v>
      </c>
      <c r="I134" s="358" t="s">
        <v>27</v>
      </c>
    </row>
    <row r="135" spans="1:9" ht="15">
      <c r="A135" s="364"/>
      <c r="B135" s="364"/>
      <c r="C135" s="366"/>
      <c r="D135" s="364"/>
      <c r="E135" s="357"/>
      <c r="F135" s="220" t="s">
        <v>23</v>
      </c>
      <c r="G135" s="220" t="s">
        <v>24</v>
      </c>
      <c r="H135" s="357"/>
      <c r="I135" s="359"/>
    </row>
    <row r="136" spans="1:9" ht="15">
      <c r="A136" s="221" t="s">
        <v>6</v>
      </c>
      <c r="B136" s="221"/>
      <c r="C136" s="222" t="s">
        <v>100</v>
      </c>
      <c r="D136" s="222"/>
      <c r="E136" s="223"/>
      <c r="F136" s="224"/>
      <c r="G136" s="224"/>
      <c r="H136" s="224">
        <f>SUM(H137:H139)</f>
        <v>44718.81</v>
      </c>
      <c r="I136" s="224">
        <f>SUM(I137:I139)</f>
        <v>56565.17</v>
      </c>
    </row>
    <row r="137" spans="1:9" ht="15">
      <c r="A137" s="225" t="s">
        <v>30</v>
      </c>
      <c r="B137" s="226">
        <v>72942</v>
      </c>
      <c r="C137" s="227" t="s">
        <v>66</v>
      </c>
      <c r="D137" s="228" t="s">
        <v>9</v>
      </c>
      <c r="E137" s="229">
        <f>'M CÁLCULO'!F26</f>
        <v>1054.95</v>
      </c>
      <c r="F137" s="230">
        <v>2.11</v>
      </c>
      <c r="G137" s="231">
        <f>(_xlfn.IFERROR((F137*((1+$G$10))),"-"))</f>
        <v>2.67</v>
      </c>
      <c r="H137" s="231">
        <f>_xlfn.IFERROR(E137*F137,"-")</f>
        <v>2225.94</v>
      </c>
      <c r="I137" s="231">
        <f>_xlfn.IFERROR(E137*G137,"-")</f>
        <v>2816.72</v>
      </c>
    </row>
    <row r="138" spans="1:9" ht="23.4">
      <c r="A138" s="225" t="s">
        <v>70</v>
      </c>
      <c r="B138" s="410" t="s">
        <v>176</v>
      </c>
      <c r="C138" s="411" t="s">
        <v>177</v>
      </c>
      <c r="D138" s="228" t="s">
        <v>178</v>
      </c>
      <c r="E138" s="229">
        <f>'M CÁLCULO'!H26</f>
        <v>42.2</v>
      </c>
      <c r="F138" s="230">
        <v>962.3</v>
      </c>
      <c r="G138" s="231">
        <f>(_xlfn.IFERROR((F138*((1+$G$10))),"-"))</f>
        <v>1217.5</v>
      </c>
      <c r="H138" s="231">
        <f>_xlfn.IFERROR(E138*F138,"-")</f>
        <v>40609.06</v>
      </c>
      <c r="I138" s="231">
        <f>_xlfn.IFERROR(E138*G138,"-")</f>
        <v>51378.5</v>
      </c>
    </row>
    <row r="139" spans="1:9" ht="22.8">
      <c r="A139" s="225" t="s">
        <v>71</v>
      </c>
      <c r="B139" s="226">
        <v>95430</v>
      </c>
      <c r="C139" s="227" t="s">
        <v>72</v>
      </c>
      <c r="D139" s="228" t="s">
        <v>69</v>
      </c>
      <c r="E139" s="229">
        <f>'M CÁLCULO'!$I$26*'M CÁLCULO'!$C$35</f>
        <v>6076.8</v>
      </c>
      <c r="F139" s="230">
        <v>0.31</v>
      </c>
      <c r="G139" s="231">
        <f>(_xlfn.IFERROR((F139*((1+$G$10))),"-"))</f>
        <v>0.39</v>
      </c>
      <c r="H139" s="231">
        <f>_xlfn.IFERROR(E139*F139,"-")</f>
        <v>1883.81</v>
      </c>
      <c r="I139" s="231">
        <f>_xlfn.IFERROR(E139*G139,"-")</f>
        <v>2369.95</v>
      </c>
    </row>
    <row r="140" spans="1:9" ht="15">
      <c r="A140" s="225"/>
      <c r="B140" s="233"/>
      <c r="C140" s="234"/>
      <c r="D140" s="235"/>
      <c r="E140" s="229"/>
      <c r="F140" s="236"/>
      <c r="G140" s="231"/>
      <c r="H140" s="231"/>
      <c r="I140" s="231"/>
    </row>
    <row r="141" spans="1:9" ht="15">
      <c r="A141" s="221" t="s">
        <v>7</v>
      </c>
      <c r="B141" s="221"/>
      <c r="C141" s="222" t="s">
        <v>101</v>
      </c>
      <c r="D141" s="237"/>
      <c r="E141" s="223"/>
      <c r="F141" s="224"/>
      <c r="G141" s="224"/>
      <c r="H141" s="224">
        <f>SUM(H142:H143)</f>
        <v>1097.62</v>
      </c>
      <c r="I141" s="224">
        <f>SUM(I142:I143)</f>
        <v>1388.86</v>
      </c>
    </row>
    <row r="142" spans="1:9" ht="34.2">
      <c r="A142" s="238" t="s">
        <v>31</v>
      </c>
      <c r="B142" s="226">
        <v>72947</v>
      </c>
      <c r="C142" s="227" t="s">
        <v>77</v>
      </c>
      <c r="D142" s="232" t="s">
        <v>9</v>
      </c>
      <c r="E142" s="239">
        <f>'M CÁLCULO'!$D$50+'M CÁLCULO'!$D$69</f>
        <v>70.18</v>
      </c>
      <c r="F142" s="240">
        <v>15.64</v>
      </c>
      <c r="G142" s="231">
        <f>(_xlfn.IFERROR((F142*((1+$G$10))),"-"))</f>
        <v>19.79</v>
      </c>
      <c r="H142" s="241">
        <f aca="true" t="shared" si="20" ref="H142:H143">_xlfn.IFERROR(E142*F142,"-")</f>
        <v>1097.62</v>
      </c>
      <c r="I142" s="231">
        <f aca="true" t="shared" si="21" ref="I142:I143">_xlfn.IFERROR(E142*G142,"-")</f>
        <v>1388.86</v>
      </c>
    </row>
    <row r="143" spans="1:9" ht="22.8">
      <c r="A143" s="238" t="s">
        <v>84</v>
      </c>
      <c r="B143" s="226">
        <v>72947</v>
      </c>
      <c r="C143" s="227" t="s">
        <v>85</v>
      </c>
      <c r="D143" s="232" t="s">
        <v>9</v>
      </c>
      <c r="E143" s="239">
        <f>'M CÁLCULO'!$H$90</f>
        <v>0</v>
      </c>
      <c r="F143" s="240">
        <v>15.64</v>
      </c>
      <c r="G143" s="231">
        <f>(_xlfn.IFERROR((F143*((1+$G$10))),"-"))</f>
        <v>19.79</v>
      </c>
      <c r="H143" s="241">
        <f t="shared" si="20"/>
        <v>0</v>
      </c>
      <c r="I143" s="231">
        <f t="shared" si="21"/>
        <v>0</v>
      </c>
    </row>
    <row r="144" spans="1:9" ht="15">
      <c r="A144" s="360" t="s">
        <v>97</v>
      </c>
      <c r="B144" s="361"/>
      <c r="C144" s="361"/>
      <c r="D144" s="361"/>
      <c r="E144" s="361"/>
      <c r="F144" s="361"/>
      <c r="G144" s="362"/>
      <c r="H144" s="243">
        <f>H136+H141</f>
        <v>45816.43</v>
      </c>
      <c r="I144" s="243">
        <f>I136+I141</f>
        <v>57954.03</v>
      </c>
    </row>
    <row r="146" spans="1:9" ht="15">
      <c r="A146" s="363" t="s">
        <v>29</v>
      </c>
      <c r="B146" s="363" t="s">
        <v>3</v>
      </c>
      <c r="C146" s="365" t="str">
        <f>'M CÁLCULO'!$A$27</f>
        <v>TRAVESSA JOAQUIM MARIANO DE SÁ</v>
      </c>
      <c r="D146" s="363" t="s">
        <v>16</v>
      </c>
      <c r="E146" s="356" t="s">
        <v>1</v>
      </c>
      <c r="F146" s="367" t="s">
        <v>2</v>
      </c>
      <c r="G146" s="368"/>
      <c r="H146" s="356" t="s">
        <v>26</v>
      </c>
      <c r="I146" s="358" t="s">
        <v>27</v>
      </c>
    </row>
    <row r="147" spans="1:9" ht="15">
      <c r="A147" s="364"/>
      <c r="B147" s="364"/>
      <c r="C147" s="366"/>
      <c r="D147" s="364"/>
      <c r="E147" s="357"/>
      <c r="F147" s="220" t="s">
        <v>23</v>
      </c>
      <c r="G147" s="220" t="s">
        <v>24</v>
      </c>
      <c r="H147" s="357"/>
      <c r="I147" s="359"/>
    </row>
    <row r="148" spans="1:9" ht="15">
      <c r="A148" s="221" t="s">
        <v>6</v>
      </c>
      <c r="B148" s="221"/>
      <c r="C148" s="222" t="s">
        <v>100</v>
      </c>
      <c r="D148" s="222"/>
      <c r="E148" s="223"/>
      <c r="F148" s="224"/>
      <c r="G148" s="224"/>
      <c r="H148" s="224">
        <f>SUM(H149:H151)</f>
        <v>8244.56</v>
      </c>
      <c r="I148" s="224">
        <f>SUM(I149:I151)</f>
        <v>10428.61</v>
      </c>
    </row>
    <row r="149" spans="1:9" ht="15">
      <c r="A149" s="225" t="s">
        <v>30</v>
      </c>
      <c r="B149" s="226">
        <v>72942</v>
      </c>
      <c r="C149" s="227" t="s">
        <v>66</v>
      </c>
      <c r="D149" s="228" t="s">
        <v>9</v>
      </c>
      <c r="E149" s="229">
        <f>'M CÁLCULO'!F27</f>
        <v>194.6</v>
      </c>
      <c r="F149" s="230">
        <v>2.11</v>
      </c>
      <c r="G149" s="231">
        <f>(_xlfn.IFERROR((F149*((1+$G$10))),"-"))</f>
        <v>2.67</v>
      </c>
      <c r="H149" s="231">
        <f>_xlfn.IFERROR(E149*F149,"-")</f>
        <v>410.61</v>
      </c>
      <c r="I149" s="231">
        <f>_xlfn.IFERROR(E149*G149,"-")</f>
        <v>519.58</v>
      </c>
    </row>
    <row r="150" spans="1:9" ht="23.4">
      <c r="A150" s="225" t="s">
        <v>70</v>
      </c>
      <c r="B150" s="410" t="s">
        <v>176</v>
      </c>
      <c r="C150" s="411" t="s">
        <v>177</v>
      </c>
      <c r="D150" s="228" t="s">
        <v>178</v>
      </c>
      <c r="E150" s="229">
        <f>'M CÁLCULO'!H27</f>
        <v>7.78</v>
      </c>
      <c r="F150" s="230">
        <v>962.3</v>
      </c>
      <c r="G150" s="231">
        <f>(_xlfn.IFERROR((F150*((1+$G$10))),"-"))</f>
        <v>1217.5</v>
      </c>
      <c r="H150" s="231">
        <f>_xlfn.IFERROR(E150*F150,"-")</f>
        <v>7486.69</v>
      </c>
      <c r="I150" s="231">
        <f>_xlfn.IFERROR(E150*G150,"-")</f>
        <v>9472.15</v>
      </c>
    </row>
    <row r="151" spans="1:9" ht="22.8">
      <c r="A151" s="225" t="s">
        <v>71</v>
      </c>
      <c r="B151" s="226">
        <v>95430</v>
      </c>
      <c r="C151" s="227" t="s">
        <v>72</v>
      </c>
      <c r="D151" s="228" t="s">
        <v>69</v>
      </c>
      <c r="E151" s="229">
        <f>'M CÁLCULO'!$I$27*'M CÁLCULO'!$C$35</f>
        <v>1120.2</v>
      </c>
      <c r="F151" s="230">
        <v>0.31</v>
      </c>
      <c r="G151" s="231">
        <f>(_xlfn.IFERROR((F151*((1+$G$10))),"-"))</f>
        <v>0.39</v>
      </c>
      <c r="H151" s="231">
        <f>_xlfn.IFERROR(E151*F151,"-")</f>
        <v>347.26</v>
      </c>
      <c r="I151" s="231">
        <f>_xlfn.IFERROR(E151*G151,"-")</f>
        <v>436.88</v>
      </c>
    </row>
    <row r="152" spans="1:9" ht="15">
      <c r="A152" s="225"/>
      <c r="B152" s="233"/>
      <c r="C152" s="234"/>
      <c r="D152" s="235"/>
      <c r="E152" s="229"/>
      <c r="F152" s="236"/>
      <c r="G152" s="231"/>
      <c r="H152" s="231"/>
      <c r="I152" s="231"/>
    </row>
    <row r="153" spans="1:9" ht="15">
      <c r="A153" s="221" t="s">
        <v>7</v>
      </c>
      <c r="B153" s="221"/>
      <c r="C153" s="222" t="s">
        <v>101</v>
      </c>
      <c r="D153" s="237"/>
      <c r="E153" s="223"/>
      <c r="F153" s="224"/>
      <c r="G153" s="224"/>
      <c r="H153" s="224">
        <f>SUM(H154:H155)</f>
        <v>238.98</v>
      </c>
      <c r="I153" s="224">
        <f>SUM(I154:I155)</f>
        <v>302.39</v>
      </c>
    </row>
    <row r="154" spans="1:9" ht="34.2">
      <c r="A154" s="238" t="s">
        <v>31</v>
      </c>
      <c r="B154" s="226">
        <v>72947</v>
      </c>
      <c r="C154" s="227" t="s">
        <v>77</v>
      </c>
      <c r="D154" s="232" t="s">
        <v>9</v>
      </c>
      <c r="E154" s="239">
        <f>'M CÁLCULO'!$D$51+'M CÁLCULO'!$D$70</f>
        <v>15.28</v>
      </c>
      <c r="F154" s="240">
        <v>15.64</v>
      </c>
      <c r="G154" s="231">
        <f>(_xlfn.IFERROR((F154*((1+$G$10))),"-"))</f>
        <v>19.79</v>
      </c>
      <c r="H154" s="241">
        <f aca="true" t="shared" si="22" ref="H154:H155">_xlfn.IFERROR(E154*F154,"-")</f>
        <v>238.98</v>
      </c>
      <c r="I154" s="231">
        <f aca="true" t="shared" si="23" ref="I154:I155">_xlfn.IFERROR(E154*G154,"-")</f>
        <v>302.39</v>
      </c>
    </row>
    <row r="155" spans="1:9" ht="22.8">
      <c r="A155" s="238" t="s">
        <v>84</v>
      </c>
      <c r="B155" s="226">
        <v>72947</v>
      </c>
      <c r="C155" s="227" t="s">
        <v>85</v>
      </c>
      <c r="D155" s="232" t="s">
        <v>9</v>
      </c>
      <c r="E155" s="239">
        <f>'M CÁLCULO'!$H$91</f>
        <v>0</v>
      </c>
      <c r="F155" s="240">
        <v>15.64</v>
      </c>
      <c r="G155" s="231">
        <f>(_xlfn.IFERROR((F155*((1+$G$10))),"-"))</f>
        <v>19.79</v>
      </c>
      <c r="H155" s="241">
        <f t="shared" si="22"/>
        <v>0</v>
      </c>
      <c r="I155" s="231">
        <f t="shared" si="23"/>
        <v>0</v>
      </c>
    </row>
    <row r="156" spans="1:9" ht="15">
      <c r="A156" s="360" t="s">
        <v>97</v>
      </c>
      <c r="B156" s="361"/>
      <c r="C156" s="361"/>
      <c r="D156" s="361"/>
      <c r="E156" s="361"/>
      <c r="F156" s="361"/>
      <c r="G156" s="362"/>
      <c r="H156" s="243">
        <f>H148+H153</f>
        <v>8483.54</v>
      </c>
      <c r="I156" s="243">
        <f>I148+I153</f>
        <v>10731</v>
      </c>
    </row>
    <row r="158" spans="1:9" ht="15">
      <c r="A158" s="363" t="s">
        <v>29</v>
      </c>
      <c r="B158" s="363" t="s">
        <v>3</v>
      </c>
      <c r="C158" s="365" t="str">
        <f>'M CÁLCULO'!$A$28</f>
        <v>RUA SERAFIM LOPES DE SÁ (TRECHO)</v>
      </c>
      <c r="D158" s="363" t="s">
        <v>16</v>
      </c>
      <c r="E158" s="356" t="s">
        <v>1</v>
      </c>
      <c r="F158" s="367" t="s">
        <v>2</v>
      </c>
      <c r="G158" s="368"/>
      <c r="H158" s="356" t="s">
        <v>26</v>
      </c>
      <c r="I158" s="358" t="s">
        <v>27</v>
      </c>
    </row>
    <row r="159" spans="1:9" ht="15">
      <c r="A159" s="364"/>
      <c r="B159" s="364"/>
      <c r="C159" s="366"/>
      <c r="D159" s="364"/>
      <c r="E159" s="357"/>
      <c r="F159" s="220" t="s">
        <v>23</v>
      </c>
      <c r="G159" s="220" t="s">
        <v>24</v>
      </c>
      <c r="H159" s="357"/>
      <c r="I159" s="359"/>
    </row>
    <row r="160" spans="1:9" ht="15">
      <c r="A160" s="221" t="s">
        <v>6</v>
      </c>
      <c r="B160" s="221"/>
      <c r="C160" s="222" t="s">
        <v>100</v>
      </c>
      <c r="D160" s="222"/>
      <c r="E160" s="223"/>
      <c r="F160" s="224"/>
      <c r="G160" s="224"/>
      <c r="H160" s="224">
        <f>SUM(H161:H163)</f>
        <v>18025.12</v>
      </c>
      <c r="I160" s="224">
        <f>SUM(I161:I163)</f>
        <v>22800.13</v>
      </c>
    </row>
    <row r="161" spans="1:9" ht="15">
      <c r="A161" s="225" t="s">
        <v>30</v>
      </c>
      <c r="B161" s="226">
        <v>72942</v>
      </c>
      <c r="C161" s="227" t="s">
        <v>66</v>
      </c>
      <c r="D161" s="228" t="s">
        <v>9</v>
      </c>
      <c r="E161" s="229">
        <f>'M CÁLCULO'!F28</f>
        <v>425.19</v>
      </c>
      <c r="F161" s="230">
        <v>2.11</v>
      </c>
      <c r="G161" s="231">
        <f>(_xlfn.IFERROR((F161*((1+$G$10))),"-"))</f>
        <v>2.67</v>
      </c>
      <c r="H161" s="231">
        <f>_xlfn.IFERROR(E161*F161,"-")</f>
        <v>897.15</v>
      </c>
      <c r="I161" s="231">
        <f>_xlfn.IFERROR(E161*G161,"-")</f>
        <v>1135.26</v>
      </c>
    </row>
    <row r="162" spans="1:9" ht="23.4">
      <c r="A162" s="225" t="s">
        <v>70</v>
      </c>
      <c r="B162" s="410" t="s">
        <v>176</v>
      </c>
      <c r="C162" s="411" t="s">
        <v>177</v>
      </c>
      <c r="D162" s="228" t="s">
        <v>178</v>
      </c>
      <c r="E162" s="229">
        <f>'M CÁLCULO'!H28</f>
        <v>17.01</v>
      </c>
      <c r="F162" s="230">
        <v>962.3</v>
      </c>
      <c r="G162" s="231">
        <f>(_xlfn.IFERROR((F162*((1+$G$10))),"-"))</f>
        <v>1217.5</v>
      </c>
      <c r="H162" s="231">
        <f>_xlfn.IFERROR(E162*F162,"-")</f>
        <v>16368.72</v>
      </c>
      <c r="I162" s="231">
        <f>_xlfn.IFERROR(E162*G162,"-")</f>
        <v>20709.68</v>
      </c>
    </row>
    <row r="163" spans="1:9" ht="22.8">
      <c r="A163" s="225" t="s">
        <v>71</v>
      </c>
      <c r="B163" s="226">
        <v>95430</v>
      </c>
      <c r="C163" s="227" t="s">
        <v>72</v>
      </c>
      <c r="D163" s="228" t="s">
        <v>69</v>
      </c>
      <c r="E163" s="229">
        <f>'M CÁLCULO'!$I$28*'M CÁLCULO'!$C$35</f>
        <v>2449.2</v>
      </c>
      <c r="F163" s="230">
        <v>0.31</v>
      </c>
      <c r="G163" s="231">
        <f>(_xlfn.IFERROR((F163*((1+$G$10))),"-"))</f>
        <v>0.39</v>
      </c>
      <c r="H163" s="231">
        <f>_xlfn.IFERROR(E163*F163,"-")</f>
        <v>759.25</v>
      </c>
      <c r="I163" s="231">
        <f>_xlfn.IFERROR(E163*G163,"-")</f>
        <v>955.19</v>
      </c>
    </row>
    <row r="164" spans="1:9" ht="15">
      <c r="A164" s="225"/>
      <c r="B164" s="233"/>
      <c r="C164" s="234"/>
      <c r="D164" s="235"/>
      <c r="E164" s="229"/>
      <c r="F164" s="236"/>
      <c r="G164" s="231"/>
      <c r="H164" s="231"/>
      <c r="I164" s="231"/>
    </row>
    <row r="165" spans="1:9" ht="15">
      <c r="A165" s="221" t="s">
        <v>7</v>
      </c>
      <c r="B165" s="221"/>
      <c r="C165" s="222" t="s">
        <v>101</v>
      </c>
      <c r="D165" s="237"/>
      <c r="E165" s="223"/>
      <c r="F165" s="224"/>
      <c r="G165" s="224"/>
      <c r="H165" s="224">
        <f>SUM(H166:H167)</f>
        <v>617.62</v>
      </c>
      <c r="I165" s="224">
        <f>SUM(I166:I167)</f>
        <v>781.5</v>
      </c>
    </row>
    <row r="166" spans="1:9" ht="34.2">
      <c r="A166" s="238" t="s">
        <v>31</v>
      </c>
      <c r="B166" s="226">
        <v>72947</v>
      </c>
      <c r="C166" s="227" t="s">
        <v>77</v>
      </c>
      <c r="D166" s="232" t="s">
        <v>9</v>
      </c>
      <c r="E166" s="239">
        <f>'M CÁLCULO'!$D$52+'M CÁLCULO'!$D$71</f>
        <v>29.03</v>
      </c>
      <c r="F166" s="240">
        <v>15.64</v>
      </c>
      <c r="G166" s="231">
        <f>(_xlfn.IFERROR((F166*((1+$G$10))),"-"))</f>
        <v>19.79</v>
      </c>
      <c r="H166" s="241">
        <f aca="true" t="shared" si="24" ref="H166:H167">_xlfn.IFERROR(E166*F166,"-")</f>
        <v>454.03</v>
      </c>
      <c r="I166" s="231">
        <f aca="true" t="shared" si="25" ref="I166:I167">_xlfn.IFERROR(E166*G166,"-")</f>
        <v>574.5</v>
      </c>
    </row>
    <row r="167" spans="1:9" ht="22.8">
      <c r="A167" s="238" t="s">
        <v>84</v>
      </c>
      <c r="B167" s="226">
        <v>72947</v>
      </c>
      <c r="C167" s="227" t="s">
        <v>85</v>
      </c>
      <c r="D167" s="232" t="s">
        <v>9</v>
      </c>
      <c r="E167" s="239">
        <f>'M CÁLCULO'!$H$92</f>
        <v>10.46</v>
      </c>
      <c r="F167" s="240">
        <v>15.64</v>
      </c>
      <c r="G167" s="231">
        <f>(_xlfn.IFERROR((F167*((1+$G$10))),"-"))</f>
        <v>19.79</v>
      </c>
      <c r="H167" s="241">
        <f t="shared" si="24"/>
        <v>163.59</v>
      </c>
      <c r="I167" s="231">
        <f t="shared" si="25"/>
        <v>207</v>
      </c>
    </row>
    <row r="168" spans="1:9" ht="15">
      <c r="A168" s="360" t="s">
        <v>97</v>
      </c>
      <c r="B168" s="361"/>
      <c r="C168" s="361"/>
      <c r="D168" s="361"/>
      <c r="E168" s="361"/>
      <c r="F168" s="361"/>
      <c r="G168" s="362"/>
      <c r="H168" s="243">
        <f>H160+H165</f>
        <v>18642.74</v>
      </c>
      <c r="I168" s="243">
        <f>I160+I165</f>
        <v>23581.63</v>
      </c>
    </row>
    <row r="176" ht="15">
      <c r="I176" s="247"/>
    </row>
  </sheetData>
  <mergeCells count="117">
    <mergeCell ref="H11:H12"/>
    <mergeCell ref="I11:I12"/>
    <mergeCell ref="A22:G22"/>
    <mergeCell ref="A11:A12"/>
    <mergeCell ref="B11:B12"/>
    <mergeCell ref="C11:C12"/>
    <mergeCell ref="D11:D12"/>
    <mergeCell ref="E11:E12"/>
    <mergeCell ref="F11:G11"/>
    <mergeCell ref="F24:G24"/>
    <mergeCell ref="H24:H25"/>
    <mergeCell ref="I24:I25"/>
    <mergeCell ref="A35:G35"/>
    <mergeCell ref="A24:A25"/>
    <mergeCell ref="B24:B25"/>
    <mergeCell ref="C24:C25"/>
    <mergeCell ref="D24:D25"/>
    <mergeCell ref="E24:E25"/>
    <mergeCell ref="I37:I38"/>
    <mergeCell ref="A48:G48"/>
    <mergeCell ref="A50:A51"/>
    <mergeCell ref="B50:B51"/>
    <mergeCell ref="C50:C51"/>
    <mergeCell ref="D50:D51"/>
    <mergeCell ref="E50:E51"/>
    <mergeCell ref="F50:G50"/>
    <mergeCell ref="H50:H51"/>
    <mergeCell ref="I50:I51"/>
    <mergeCell ref="A37:A38"/>
    <mergeCell ref="B37:B38"/>
    <mergeCell ref="C37:C38"/>
    <mergeCell ref="D37:D38"/>
    <mergeCell ref="E37:E38"/>
    <mergeCell ref="A60:G60"/>
    <mergeCell ref="A62:A63"/>
    <mergeCell ref="B62:B63"/>
    <mergeCell ref="C62:C63"/>
    <mergeCell ref="D62:D63"/>
    <mergeCell ref="E62:E63"/>
    <mergeCell ref="F62:G62"/>
    <mergeCell ref="F37:G37"/>
    <mergeCell ref="H37:H38"/>
    <mergeCell ref="A84:G84"/>
    <mergeCell ref="A86:A87"/>
    <mergeCell ref="B86:B87"/>
    <mergeCell ref="C86:C87"/>
    <mergeCell ref="D86:D87"/>
    <mergeCell ref="E86:E87"/>
    <mergeCell ref="F86:G86"/>
    <mergeCell ref="H62:H63"/>
    <mergeCell ref="I62:I63"/>
    <mergeCell ref="A72:G72"/>
    <mergeCell ref="A74:A75"/>
    <mergeCell ref="B74:B75"/>
    <mergeCell ref="C74:C75"/>
    <mergeCell ref="D74:D75"/>
    <mergeCell ref="E74:E75"/>
    <mergeCell ref="F74:G74"/>
    <mergeCell ref="H74:H75"/>
    <mergeCell ref="I74:I75"/>
    <mergeCell ref="A108:G108"/>
    <mergeCell ref="A110:A111"/>
    <mergeCell ref="B110:B111"/>
    <mergeCell ref="C110:C111"/>
    <mergeCell ref="D110:D111"/>
    <mergeCell ref="E110:E111"/>
    <mergeCell ref="F110:G110"/>
    <mergeCell ref="H86:H87"/>
    <mergeCell ref="I86:I87"/>
    <mergeCell ref="A96:G96"/>
    <mergeCell ref="A98:A99"/>
    <mergeCell ref="B98:B99"/>
    <mergeCell ref="C98:C99"/>
    <mergeCell ref="D98:D99"/>
    <mergeCell ref="E98:E99"/>
    <mergeCell ref="F98:G98"/>
    <mergeCell ref="H98:H99"/>
    <mergeCell ref="I98:I99"/>
    <mergeCell ref="A132:G132"/>
    <mergeCell ref="A134:A135"/>
    <mergeCell ref="B134:B135"/>
    <mergeCell ref="C134:C135"/>
    <mergeCell ref="D134:D135"/>
    <mergeCell ref="E134:E135"/>
    <mergeCell ref="F134:G134"/>
    <mergeCell ref="H110:H111"/>
    <mergeCell ref="I110:I111"/>
    <mergeCell ref="A120:G120"/>
    <mergeCell ref="A122:A123"/>
    <mergeCell ref="B122:B123"/>
    <mergeCell ref="C122:C123"/>
    <mergeCell ref="D122:D123"/>
    <mergeCell ref="E122:E123"/>
    <mergeCell ref="F122:G122"/>
    <mergeCell ref="H122:H123"/>
    <mergeCell ref="I122:I123"/>
    <mergeCell ref="H134:H135"/>
    <mergeCell ref="I134:I135"/>
    <mergeCell ref="A144:G144"/>
    <mergeCell ref="A146:A147"/>
    <mergeCell ref="B146:B147"/>
    <mergeCell ref="C146:C147"/>
    <mergeCell ref="D146:D147"/>
    <mergeCell ref="E146:E147"/>
    <mergeCell ref="F146:G146"/>
    <mergeCell ref="H146:H147"/>
    <mergeCell ref="I146:I147"/>
    <mergeCell ref="H158:H159"/>
    <mergeCell ref="I158:I159"/>
    <mergeCell ref="A168:G168"/>
    <mergeCell ref="A156:G156"/>
    <mergeCell ref="A158:A159"/>
    <mergeCell ref="B158:B159"/>
    <mergeCell ref="C158:C159"/>
    <mergeCell ref="D158:D159"/>
    <mergeCell ref="E158:E159"/>
    <mergeCell ref="F158:G158"/>
  </mergeCells>
  <printOptions horizontalCentered="1"/>
  <pageMargins left="0.31496062992125984" right="0.31496062992125984" top="1.7716535433070868" bottom="0.7874015748031497" header="0.7086614173228347" footer="0.31496062992125984"/>
  <pageSetup fitToHeight="5" horizontalDpi="600" verticalDpi="600" orientation="landscape" paperSize="9" scale="65" r:id="rId2"/>
  <headerFooter alignWithMargins="0">
    <oddHeader>&amp;R&amp;P de&amp;N</oddHeader>
  </headerFooter>
  <rowBreaks count="1" manualBreakCount="1">
    <brk id="3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N52"/>
  <sheetViews>
    <sheetView view="pageLayout" zoomScaleSheetLayoutView="100" workbookViewId="0" topLeftCell="A1">
      <selection activeCell="B3" sqref="B3"/>
    </sheetView>
  </sheetViews>
  <sheetFormatPr defaultColWidth="9.140625" defaultRowHeight="15"/>
  <cols>
    <col min="1" max="1" width="13.28125" style="103" customWidth="1"/>
    <col min="2" max="2" width="89.57421875" style="103" customWidth="1"/>
    <col min="3" max="3" width="24.140625" style="103" customWidth="1"/>
    <col min="4" max="4" width="23.7109375" style="103" customWidth="1"/>
    <col min="5" max="5" width="23.421875" style="103" hidden="1" customWidth="1"/>
    <col min="6" max="6" width="15.57421875" style="103" hidden="1" customWidth="1"/>
    <col min="7" max="7" width="11.28125" style="103" hidden="1" customWidth="1"/>
    <col min="8" max="8" width="18.57421875" style="103" customWidth="1"/>
    <col min="9" max="9" width="20.57421875" style="103" customWidth="1"/>
    <col min="10" max="10" width="15.140625" style="103" customWidth="1"/>
    <col min="11" max="16384" width="9.140625" style="103" customWidth="1"/>
  </cols>
  <sheetData>
    <row r="1" ht="12.75"/>
    <row r="2" ht="12.75"/>
    <row r="3" ht="12.75"/>
    <row r="4" ht="12.75"/>
    <row r="5" ht="12.75"/>
    <row r="6" spans="1:4" ht="21">
      <c r="A6" s="177" t="str">
        <f>PLANILHA!A7</f>
        <v>APLICAÇÃO DE REVESTIMENTO ASFALTICO (CBUQ) SOBRE PARALELEPIPEDO EM DIVERSAS RUAS</v>
      </c>
      <c r="B6" s="150"/>
      <c r="C6" s="102"/>
      <c r="D6" s="102"/>
    </row>
    <row r="7" spans="1:4" ht="15">
      <c r="A7" s="151" t="str">
        <f>PLANILHA!A8</f>
        <v>MODALIDADE:  PAVIMENTAÇÃO E SINALIZAÇÃO HORIZONTAL</v>
      </c>
      <c r="B7" s="152"/>
      <c r="C7" s="105"/>
      <c r="D7" s="105"/>
    </row>
    <row r="8" spans="1:6" ht="13.8">
      <c r="A8" s="153" t="str">
        <f>PLANILHA!A9</f>
        <v>FASE : ÚNICA</v>
      </c>
      <c r="B8" s="152"/>
      <c r="C8" s="325"/>
      <c r="D8" s="325"/>
      <c r="E8" s="107"/>
      <c r="F8" s="107"/>
    </row>
    <row r="9" spans="1:6" ht="14.25" customHeight="1">
      <c r="A9" s="108" t="str">
        <f>PLANILHA!A10</f>
        <v>LOCAL: VERDEJANTE - PE</v>
      </c>
      <c r="B9" s="109"/>
      <c r="C9" s="110" t="str">
        <f>PLANILHA!F10</f>
        <v>DATA : JUNHO/2021</v>
      </c>
      <c r="D9" s="110" t="str">
        <f>PLANILHA!H10</f>
        <v>REVISÃO: JUNHO/2021</v>
      </c>
      <c r="E9" s="107"/>
      <c r="F9" s="107"/>
    </row>
    <row r="10" spans="1:6" ht="24.75" customHeight="1">
      <c r="A10" s="183" t="str">
        <f>PLANILHA!A11</f>
        <v>BAIRRO: CENTRO</v>
      </c>
      <c r="B10" s="184"/>
      <c r="C10" s="111" t="s">
        <v>92</v>
      </c>
      <c r="D10" s="185" t="str">
        <f>PLANILHA!H11</f>
        <v>SINAPI ABRIL/2021 E SEINFRA 027.1</v>
      </c>
      <c r="E10" s="112"/>
      <c r="F10" s="112"/>
    </row>
    <row r="11" spans="1:14" ht="23.25" customHeight="1" thickBot="1">
      <c r="A11" s="347" t="s">
        <v>105</v>
      </c>
      <c r="B11" s="348"/>
      <c r="C11" s="348"/>
      <c r="D11" s="349"/>
      <c r="F11" s="113"/>
      <c r="G11" s="113"/>
      <c r="I11" s="350"/>
      <c r="J11" s="350"/>
      <c r="K11" s="350"/>
      <c r="L11" s="350"/>
      <c r="M11" s="350"/>
      <c r="N11" s="350"/>
    </row>
    <row r="12" spans="1:7" ht="15">
      <c r="A12" s="351" t="s">
        <v>29</v>
      </c>
      <c r="B12" s="353" t="s">
        <v>0</v>
      </c>
      <c r="C12" s="353" t="s">
        <v>94</v>
      </c>
      <c r="D12" s="353" t="s">
        <v>4</v>
      </c>
      <c r="E12" s="114"/>
      <c r="F12" s="115"/>
      <c r="G12" s="115"/>
    </row>
    <row r="13" spans="1:7" ht="11.25" customHeight="1">
      <c r="A13" s="352"/>
      <c r="B13" s="354"/>
      <c r="C13" s="355"/>
      <c r="D13" s="355"/>
      <c r="E13" s="114"/>
      <c r="F13" s="115"/>
      <c r="G13" s="116"/>
    </row>
    <row r="14" spans="1:7" ht="15">
      <c r="A14" s="117" t="s">
        <v>5</v>
      </c>
      <c r="B14" s="118" t="str">
        <f>PLANILHA!C14</f>
        <v>SERVIÇOS PRELIMINARES</v>
      </c>
      <c r="C14" s="119">
        <f>PLANILHA!I14</f>
        <v>2207.46</v>
      </c>
      <c r="D14" s="120">
        <f>C14/$C$43</f>
        <v>0.0029</v>
      </c>
      <c r="E14" s="121" t="e">
        <f>#REF!+E43</f>
        <v>#REF!</v>
      </c>
      <c r="F14" s="115"/>
      <c r="G14" s="116"/>
    </row>
    <row r="15" spans="1:7" ht="12.6" customHeight="1">
      <c r="A15" s="117"/>
      <c r="B15" s="118"/>
      <c r="C15" s="119"/>
      <c r="D15" s="120"/>
      <c r="E15" s="121"/>
      <c r="F15" s="115"/>
      <c r="G15" s="116"/>
    </row>
    <row r="16" spans="1:9" ht="13.2" customHeight="1">
      <c r="A16" s="117" t="s">
        <v>6</v>
      </c>
      <c r="B16" s="248" t="str">
        <f>'M CÁLCULO'!A16</f>
        <v>RUA OSMUNDO BEZERRA</v>
      </c>
      <c r="C16" s="119">
        <f>'PLANILHA - RUA'!I22</f>
        <v>128808.46</v>
      </c>
      <c r="D16" s="120">
        <f>C16/$C$43</f>
        <v>0.1689</v>
      </c>
      <c r="E16" s="114"/>
      <c r="F16" s="115"/>
      <c r="G16" s="116"/>
      <c r="H16" s="122"/>
      <c r="I16" s="122"/>
    </row>
    <row r="17" spans="1:9" ht="13.2" customHeight="1">
      <c r="A17" s="117"/>
      <c r="B17" s="248"/>
      <c r="C17" s="119"/>
      <c r="D17" s="120"/>
      <c r="E17" s="114"/>
      <c r="F17" s="115"/>
      <c r="G17" s="116"/>
      <c r="H17" s="122"/>
      <c r="I17" s="122"/>
    </row>
    <row r="18" spans="1:9" ht="15" customHeight="1">
      <c r="A18" s="117" t="s">
        <v>7</v>
      </c>
      <c r="B18" s="248" t="str">
        <f>'M CÁLCULO'!A17</f>
        <v>RUA AGAMENON MAGALHÃES</v>
      </c>
      <c r="C18" s="119">
        <f>'PLANILHA - RUA'!I35</f>
        <v>189455.76</v>
      </c>
      <c r="D18" s="120">
        <f>C18/$C$43</f>
        <v>0.2484</v>
      </c>
      <c r="E18" s="114"/>
      <c r="F18" s="115"/>
      <c r="G18" s="116"/>
      <c r="H18" s="122"/>
      <c r="I18" s="122"/>
    </row>
    <row r="19" spans="1:9" ht="15" customHeight="1">
      <c r="A19" s="117"/>
      <c r="B19" s="248"/>
      <c r="C19" s="119"/>
      <c r="D19" s="120"/>
      <c r="E19" s="114"/>
      <c r="F19" s="115"/>
      <c r="G19" s="116"/>
      <c r="H19" s="122"/>
      <c r="I19" s="122"/>
    </row>
    <row r="20" spans="1:7" ht="15">
      <c r="A20" s="117" t="s">
        <v>8</v>
      </c>
      <c r="B20" s="248" t="str">
        <f>'M CÁLCULO'!A18</f>
        <v>RUA MARIANO GOMES</v>
      </c>
      <c r="C20" s="119">
        <f>'PLANILHA - RUA'!I48</f>
        <v>119642.07</v>
      </c>
      <c r="D20" s="120">
        <f>C20/$C$43</f>
        <v>0.1568</v>
      </c>
      <c r="E20" s="114"/>
      <c r="F20" s="124"/>
      <c r="G20" s="124"/>
    </row>
    <row r="21" spans="1:7" ht="15">
      <c r="A21" s="117"/>
      <c r="B21" s="248"/>
      <c r="C21" s="123"/>
      <c r="D21" s="120"/>
      <c r="E21" s="114"/>
      <c r="F21" s="124"/>
      <c r="G21" s="124"/>
    </row>
    <row r="22" spans="1:7" ht="15">
      <c r="A22" s="117" t="s">
        <v>10</v>
      </c>
      <c r="B22" s="248" t="str">
        <f>'M CÁLCULO'!A19</f>
        <v>RUA JOSÉ TAVARES DE SÁ</v>
      </c>
      <c r="C22" s="119">
        <f>'PLANILHA - RUA'!I60</f>
        <v>79042.88</v>
      </c>
      <c r="D22" s="120">
        <f>C22/$C$43</f>
        <v>0.1036</v>
      </c>
      <c r="E22" s="114"/>
      <c r="F22" s="124"/>
      <c r="G22" s="124"/>
    </row>
    <row r="23" spans="1:7" ht="14.4" customHeight="1">
      <c r="A23" s="117"/>
      <c r="B23" s="248"/>
      <c r="C23" s="119"/>
      <c r="D23" s="120"/>
      <c r="E23" s="114"/>
      <c r="F23" s="124"/>
      <c r="G23" s="124"/>
    </row>
    <row r="24" spans="1:8" ht="15">
      <c r="A24" s="117" t="s">
        <v>11</v>
      </c>
      <c r="B24" s="248" t="str">
        <f>'M CÁLCULO'!A20</f>
        <v>ANTONIO CECÍLIO RANGEL (TRECHO 1) - ENTRE O CRAS E CASA DE BEL)</v>
      </c>
      <c r="C24" s="119">
        <f>'PLANILHA - RUA'!I72</f>
        <v>43425.28</v>
      </c>
      <c r="D24" s="120">
        <f>C24/$C$43</f>
        <v>0.0569</v>
      </c>
      <c r="E24" s="125" t="e">
        <f>#REF!+E43</f>
        <v>#REF!</v>
      </c>
      <c r="H24" s="122"/>
    </row>
    <row r="25" spans="1:8" ht="15">
      <c r="A25" s="117"/>
      <c r="B25" s="248"/>
      <c r="C25" s="123"/>
      <c r="D25" s="120"/>
      <c r="E25" s="125"/>
      <c r="H25" s="122"/>
    </row>
    <row r="26" spans="1:8" ht="15">
      <c r="A26" s="117" t="s">
        <v>12</v>
      </c>
      <c r="B26" s="248" t="str">
        <f>'M CÁLCULO'!A21</f>
        <v>ANTONIO CECÍLIO RANGEL (TRECHO 2) - ENTRE CASA DE BEL E MERCADO ENEAS</v>
      </c>
      <c r="C26" s="119">
        <f>'PLANILHA - RUA'!I84</f>
        <v>14043.64</v>
      </c>
      <c r="D26" s="120">
        <f>C26/$C$43</f>
        <v>0.0184</v>
      </c>
      <c r="E26" s="125"/>
      <c r="H26" s="122"/>
    </row>
    <row r="27" spans="1:8" ht="15">
      <c r="A27" s="117"/>
      <c r="B27" s="248"/>
      <c r="C27" s="123"/>
      <c r="D27" s="120"/>
      <c r="E27" s="125"/>
      <c r="H27" s="122"/>
    </row>
    <row r="28" spans="1:8" ht="15">
      <c r="A28" s="117" t="s">
        <v>13</v>
      </c>
      <c r="B28" s="248" t="str">
        <f>'M CÁLCULO'!A22</f>
        <v>TRAVESSA AMARO GOMES</v>
      </c>
      <c r="C28" s="119">
        <f>'PLANILHA - RUA'!I96</f>
        <v>11530.94</v>
      </c>
      <c r="D28" s="120">
        <f>C28/$C$43</f>
        <v>0.0151</v>
      </c>
      <c r="E28" s="125"/>
      <c r="H28" s="122"/>
    </row>
    <row r="29" spans="1:8" ht="15">
      <c r="A29" s="117"/>
      <c r="B29" s="248"/>
      <c r="C29" s="123"/>
      <c r="D29" s="120"/>
      <c r="E29" s="125"/>
      <c r="H29" s="122"/>
    </row>
    <row r="30" spans="1:8" ht="15">
      <c r="A30" s="117" t="s">
        <v>14</v>
      </c>
      <c r="B30" s="248" t="str">
        <f>'M CÁLCULO'!A23</f>
        <v>RUA CÍCERO CÂNDIDO (TRECHO 1) - ENTRE MARIANO GOMES E OSMUNDO B.</v>
      </c>
      <c r="C30" s="119">
        <f>'PLANILHA - RUA'!I108</f>
        <v>46900.08</v>
      </c>
      <c r="D30" s="120">
        <f>C30/$C$43</f>
        <v>0.0615</v>
      </c>
      <c r="E30" s="125"/>
      <c r="H30" s="122"/>
    </row>
    <row r="31" spans="1:8" ht="15">
      <c r="A31" s="117"/>
      <c r="B31" s="248"/>
      <c r="C31" s="123"/>
      <c r="D31" s="120"/>
      <c r="E31" s="125"/>
      <c r="H31" s="122"/>
    </row>
    <row r="32" spans="1:8" ht="15">
      <c r="A32" s="117" t="s">
        <v>15</v>
      </c>
      <c r="B32" s="248" t="str">
        <f>'M CÁLCULO'!A24</f>
        <v>RUA CÍCERO CÂNDIDO (TRECHO 2) - ENTRE OSMUNDO B. E AV DAVID JACINTO</v>
      </c>
      <c r="C32" s="119">
        <f>'PLANILHA - RUA'!I120</f>
        <v>11749.21</v>
      </c>
      <c r="D32" s="120">
        <f>C32/$C$43</f>
        <v>0.0154</v>
      </c>
      <c r="E32" s="125"/>
      <c r="H32" s="122"/>
    </row>
    <row r="33" spans="1:8" ht="15">
      <c r="A33" s="117"/>
      <c r="B33" s="248"/>
      <c r="C33" s="123"/>
      <c r="D33" s="120"/>
      <c r="E33" s="125"/>
      <c r="H33" s="122"/>
    </row>
    <row r="34" spans="1:8" ht="15">
      <c r="A34" s="117" t="s">
        <v>95</v>
      </c>
      <c r="B34" s="248" t="str">
        <f>'M CÁLCULO'!A25</f>
        <v>RUA CÍCERO CÂNDIDO (TRECHO 3) - ENTRE AV DAVID JACINTO E AGAMENON M.</v>
      </c>
      <c r="C34" s="119">
        <f>'PLANILHA - RUA'!I132</f>
        <v>23721.3</v>
      </c>
      <c r="D34" s="120">
        <f>C34/$C$43</f>
        <v>0.0311</v>
      </c>
      <c r="E34" s="125"/>
      <c r="H34" s="122"/>
    </row>
    <row r="35" spans="1:8" ht="15">
      <c r="A35" s="117"/>
      <c r="B35" s="248"/>
      <c r="C35" s="123"/>
      <c r="D35" s="120"/>
      <c r="E35" s="125"/>
      <c r="H35" s="122"/>
    </row>
    <row r="36" spans="1:8" ht="15">
      <c r="A36" s="117" t="s">
        <v>102</v>
      </c>
      <c r="B36" s="248" t="str">
        <f>'M CÁLCULO'!A26</f>
        <v>RUA JANUÁRIO NUNES</v>
      </c>
      <c r="C36" s="119">
        <f>'PLANILHA - RUA'!I144</f>
        <v>57954.03</v>
      </c>
      <c r="D36" s="120">
        <f>C36/$C$43</f>
        <v>0.076</v>
      </c>
      <c r="E36" s="125"/>
      <c r="H36" s="122"/>
    </row>
    <row r="37" spans="1:8" ht="15">
      <c r="A37" s="117"/>
      <c r="B37" s="248"/>
      <c r="C37" s="123"/>
      <c r="D37" s="120"/>
      <c r="E37" s="125"/>
      <c r="H37" s="122"/>
    </row>
    <row r="38" spans="1:8" ht="15">
      <c r="A38" s="117" t="s">
        <v>104</v>
      </c>
      <c r="B38" s="248" t="str">
        <f>'M CÁLCULO'!A27</f>
        <v>TRAVESSA JOAQUIM MARIANO DE SÁ</v>
      </c>
      <c r="C38" s="119">
        <f>'PLANILHA - RUA'!I156</f>
        <v>10731</v>
      </c>
      <c r="D38" s="120">
        <f>C38/$C$43</f>
        <v>0.0141</v>
      </c>
      <c r="E38" s="125"/>
      <c r="H38" s="122"/>
    </row>
    <row r="39" spans="2:8" ht="15">
      <c r="B39" s="248"/>
      <c r="C39" s="123"/>
      <c r="D39" s="120"/>
      <c r="E39" s="125"/>
      <c r="H39" s="122"/>
    </row>
    <row r="40" spans="1:8" ht="15">
      <c r="A40" s="117" t="s">
        <v>103</v>
      </c>
      <c r="B40" s="248" t="str">
        <f>'M CÁLCULO'!A28</f>
        <v>RUA SERAFIM LOPES DE SÁ (TRECHO)</v>
      </c>
      <c r="C40" s="119">
        <f>'PLANILHA - RUA'!I168</f>
        <v>23581.63</v>
      </c>
      <c r="D40" s="120">
        <f>C40/$C$43</f>
        <v>0.0309</v>
      </c>
      <c r="E40" s="125"/>
      <c r="H40" s="122"/>
    </row>
    <row r="41" spans="1:8" ht="15">
      <c r="A41" s="117"/>
      <c r="B41" s="248"/>
      <c r="C41" s="123"/>
      <c r="D41" s="120"/>
      <c r="E41" s="125"/>
      <c r="H41" s="122"/>
    </row>
    <row r="42" spans="1:9" ht="15">
      <c r="A42" s="117"/>
      <c r="B42" s="118"/>
      <c r="C42" s="128"/>
      <c r="D42" s="120"/>
      <c r="E42" s="114"/>
      <c r="I42" s="124"/>
    </row>
    <row r="43" spans="1:10" ht="13.8">
      <c r="A43" s="129"/>
      <c r="B43" s="130" t="s">
        <v>90</v>
      </c>
      <c r="C43" s="131">
        <f>SUM(C14:C42)</f>
        <v>762793.74</v>
      </c>
      <c r="D43" s="199">
        <f>SUM(D14:D42)</f>
        <v>1</v>
      </c>
      <c r="E43" s="132" t="e">
        <f>#REF!-#REF!</f>
        <v>#REF!</v>
      </c>
      <c r="I43" s="122"/>
      <c r="J43" s="133"/>
    </row>
    <row r="44" spans="1:4" ht="15">
      <c r="A44" s="113"/>
      <c r="B44" s="113"/>
      <c r="C44" s="113"/>
      <c r="D44" s="113"/>
    </row>
    <row r="52" ht="15">
      <c r="C52" s="124"/>
    </row>
  </sheetData>
  <mergeCells count="7">
    <mergeCell ref="C8:D8"/>
    <mergeCell ref="A11:D11"/>
    <mergeCell ref="I11:N11"/>
    <mergeCell ref="A12:A13"/>
    <mergeCell ref="B12:B13"/>
    <mergeCell ref="C12:C13"/>
    <mergeCell ref="D12:D13"/>
  </mergeCells>
  <conditionalFormatting sqref="E24:E41">
    <cfRule type="expression" priority="1" dxfId="2" stopIfTrue="1">
      <formula>$L24=1</formula>
    </cfRule>
    <cfRule type="expression" priority="2" dxfId="1" stopIfTrue="1">
      <formula>$L24=2</formula>
    </cfRule>
    <cfRule type="expression" priority="3" dxfId="0" stopIfTrue="1">
      <formula>$L24=3</formula>
    </cfRule>
  </conditionalFormatting>
  <printOptions horizontalCentered="1"/>
  <pageMargins left="0.5118110236220472" right="0.5118110236220472" top="1.5748031496062993" bottom="0.7874015748031497" header="0.31496062992125984" footer="0.31496062992125984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E906C-7D5B-408B-B7A1-2963CD9CAD22}">
  <dimension ref="A1:S33"/>
  <sheetViews>
    <sheetView view="pageLayout" workbookViewId="0" topLeftCell="A22">
      <selection activeCell="W8" sqref="W8"/>
    </sheetView>
  </sheetViews>
  <sheetFormatPr defaultColWidth="9.140625" defaultRowHeight="15"/>
  <cols>
    <col min="7" max="7" width="5.28125" style="0" customWidth="1"/>
    <col min="8" max="8" width="3.7109375" style="0" customWidth="1"/>
    <col min="10" max="10" width="4.8515625" style="0" customWidth="1"/>
    <col min="11" max="11" width="5.28125" style="0" customWidth="1"/>
    <col min="12" max="12" width="5.140625" style="0" customWidth="1"/>
    <col min="13" max="13" width="5.00390625" style="0" customWidth="1"/>
    <col min="14" max="14" width="5.28125" style="0" customWidth="1"/>
    <col min="15" max="15" width="4.8515625" style="0" customWidth="1"/>
    <col min="16" max="16" width="5.00390625" style="0" customWidth="1"/>
    <col min="18" max="18" width="4.28125" style="0" customWidth="1"/>
    <col min="19" max="19" width="5.140625" style="0" customWidth="1"/>
  </cols>
  <sheetData>
    <row r="1" spans="1:19" ht="15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1:19" ht="15">
      <c r="A2" s="405" t="s">
        <v>128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1:19" ht="15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</row>
    <row r="4" spans="1:19" ht="15">
      <c r="A4" s="406" t="s">
        <v>129</v>
      </c>
      <c r="B4" s="407"/>
      <c r="C4" s="407"/>
      <c r="D4" s="407"/>
      <c r="E4" s="407"/>
      <c r="F4" s="374" t="s">
        <v>130</v>
      </c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</row>
    <row r="5" spans="1:19" ht="15">
      <c r="A5" s="396" t="s">
        <v>131</v>
      </c>
      <c r="B5" s="397"/>
      <c r="C5" s="397"/>
      <c r="D5" s="397"/>
      <c r="E5" s="397"/>
      <c r="F5" s="408" t="s">
        <v>174</v>
      </c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9"/>
    </row>
    <row r="6" spans="1:19" ht="15">
      <c r="A6" s="396"/>
      <c r="B6" s="397"/>
      <c r="C6" s="397"/>
      <c r="D6" s="397"/>
      <c r="E6" s="397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9"/>
    </row>
    <row r="7" spans="1:19" ht="15">
      <c r="A7" s="396" t="s">
        <v>132</v>
      </c>
      <c r="B7" s="397"/>
      <c r="C7" s="397"/>
      <c r="D7" s="397"/>
      <c r="E7" s="397"/>
      <c r="F7" s="398" t="s">
        <v>175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9"/>
    </row>
    <row r="8" spans="1:19" ht="15" thickBot="1">
      <c r="A8" s="400" t="s">
        <v>133</v>
      </c>
      <c r="B8" s="401"/>
      <c r="C8" s="401"/>
      <c r="D8" s="401"/>
      <c r="E8" s="401"/>
      <c r="F8" s="402">
        <v>44348</v>
      </c>
      <c r="G8" s="402"/>
      <c r="H8" s="402"/>
      <c r="I8" s="402"/>
      <c r="J8" s="402"/>
      <c r="K8" s="402"/>
      <c r="L8" s="401"/>
      <c r="M8" s="401"/>
      <c r="N8" s="401"/>
      <c r="O8" s="401"/>
      <c r="P8" s="371"/>
      <c r="Q8" s="371"/>
      <c r="R8" s="371"/>
      <c r="S8" s="403"/>
    </row>
    <row r="9" spans="1:19" ht="15">
      <c r="A9" s="381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</row>
    <row r="10" spans="1:19" ht="15" thickBot="1">
      <c r="A10" s="382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</row>
    <row r="11" spans="1:19" ht="15">
      <c r="A11" s="383" t="s">
        <v>134</v>
      </c>
      <c r="B11" s="384"/>
      <c r="C11" s="384"/>
      <c r="D11" s="384"/>
      <c r="E11" s="384"/>
      <c r="F11" s="385"/>
      <c r="G11" s="386" t="s">
        <v>135</v>
      </c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5">
      <c r="A12" s="265" t="s">
        <v>136</v>
      </c>
      <c r="B12" s="266"/>
      <c r="C12" s="266"/>
      <c r="D12" s="266"/>
      <c r="E12" s="267" t="s">
        <v>137</v>
      </c>
      <c r="F12" s="267" t="s">
        <v>138</v>
      </c>
      <c r="G12" s="268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70"/>
    </row>
    <row r="13" spans="1:19" ht="15">
      <c r="A13" s="271" t="s">
        <v>139</v>
      </c>
      <c r="B13" s="272"/>
      <c r="C13" s="272"/>
      <c r="D13" s="272"/>
      <c r="E13" s="273" t="s">
        <v>19</v>
      </c>
      <c r="F13" s="274">
        <v>0.03</v>
      </c>
      <c r="G13" s="388" t="s">
        <v>140</v>
      </c>
      <c r="H13" s="390" t="s">
        <v>141</v>
      </c>
      <c r="I13" s="312" t="s">
        <v>142</v>
      </c>
      <c r="J13" s="312" t="s">
        <v>143</v>
      </c>
      <c r="K13" s="312" t="s">
        <v>144</v>
      </c>
      <c r="L13" s="312" t="s">
        <v>143</v>
      </c>
      <c r="M13" s="312" t="s">
        <v>145</v>
      </c>
      <c r="N13" s="312" t="s">
        <v>143</v>
      </c>
      <c r="O13" s="312" t="s">
        <v>146</v>
      </c>
      <c r="P13" s="312" t="s">
        <v>143</v>
      </c>
      <c r="Q13" s="312" t="s">
        <v>147</v>
      </c>
      <c r="R13" s="392" t="s">
        <v>148</v>
      </c>
      <c r="S13" s="394">
        <v>1</v>
      </c>
    </row>
    <row r="14" spans="1:19" ht="15">
      <c r="A14" s="275" t="s">
        <v>149</v>
      </c>
      <c r="B14" s="276"/>
      <c r="C14" s="276"/>
      <c r="D14" s="276"/>
      <c r="E14" s="277" t="s">
        <v>150</v>
      </c>
      <c r="F14" s="278">
        <v>0.008</v>
      </c>
      <c r="G14" s="389"/>
      <c r="H14" s="391"/>
      <c r="I14" s="313"/>
      <c r="J14" s="313"/>
      <c r="K14" s="313"/>
      <c r="L14" s="313"/>
      <c r="M14" s="313" t="s">
        <v>151</v>
      </c>
      <c r="N14" s="313"/>
      <c r="O14" s="313"/>
      <c r="P14" s="314"/>
      <c r="Q14" s="314"/>
      <c r="R14" s="393"/>
      <c r="S14" s="395"/>
    </row>
    <row r="15" spans="1:19" ht="15">
      <c r="A15" s="275" t="s">
        <v>152</v>
      </c>
      <c r="B15" s="276"/>
      <c r="C15" s="276"/>
      <c r="D15" s="276"/>
      <c r="E15" s="277" t="s">
        <v>20</v>
      </c>
      <c r="F15" s="278">
        <v>0.01</v>
      </c>
      <c r="G15" s="279"/>
      <c r="H15" s="280"/>
      <c r="I15" s="280"/>
      <c r="J15" s="280"/>
      <c r="K15" s="280"/>
      <c r="L15" s="280"/>
      <c r="M15" s="280"/>
      <c r="N15" s="280"/>
      <c r="O15" s="280"/>
      <c r="P15" s="269"/>
      <c r="Q15" s="269"/>
      <c r="R15" s="269"/>
      <c r="S15" s="270"/>
    </row>
    <row r="16" spans="1:19" ht="15">
      <c r="A16" s="275" t="s">
        <v>153</v>
      </c>
      <c r="B16" s="276"/>
      <c r="C16" s="276"/>
      <c r="D16" s="276"/>
      <c r="E16" s="277" t="s">
        <v>21</v>
      </c>
      <c r="F16" s="278">
        <v>0.01</v>
      </c>
      <c r="G16" s="377"/>
      <c r="H16" s="281"/>
      <c r="I16" s="282"/>
      <c r="J16" s="283"/>
      <c r="K16" s="282"/>
      <c r="L16" s="282"/>
      <c r="M16" s="282"/>
      <c r="N16" s="282"/>
      <c r="O16" s="282"/>
      <c r="P16" s="284"/>
      <c r="Q16" s="284"/>
      <c r="R16" s="284"/>
      <c r="S16" s="378"/>
    </row>
    <row r="17" spans="1:19" ht="15">
      <c r="A17" s="285" t="s">
        <v>154</v>
      </c>
      <c r="B17" s="286"/>
      <c r="C17" s="286"/>
      <c r="D17" s="286"/>
      <c r="E17" s="277" t="s">
        <v>22</v>
      </c>
      <c r="F17" s="287">
        <v>0.068</v>
      </c>
      <c r="G17" s="377"/>
      <c r="H17" s="288"/>
      <c r="I17" s="282"/>
      <c r="J17" s="282"/>
      <c r="K17" s="289"/>
      <c r="L17" s="290"/>
      <c r="M17" s="282"/>
      <c r="N17" s="283"/>
      <c r="O17" s="282"/>
      <c r="P17" s="284"/>
      <c r="Q17" s="284"/>
      <c r="R17" s="284"/>
      <c r="S17" s="378"/>
    </row>
    <row r="18" spans="1:19" ht="15">
      <c r="A18" s="285" t="s">
        <v>155</v>
      </c>
      <c r="B18" s="291" t="s">
        <v>156</v>
      </c>
      <c r="C18" s="276"/>
      <c r="D18" s="292"/>
      <c r="E18" s="293" t="s">
        <v>157</v>
      </c>
      <c r="F18" s="287">
        <v>0.0065</v>
      </c>
      <c r="G18" s="294"/>
      <c r="H18" s="295"/>
      <c r="I18" s="295"/>
      <c r="J18" s="295"/>
      <c r="K18" s="295"/>
      <c r="L18" s="295"/>
      <c r="M18" s="295"/>
      <c r="N18" s="295"/>
      <c r="O18" s="295"/>
      <c r="P18" s="296"/>
      <c r="Q18" s="296"/>
      <c r="R18" s="296"/>
      <c r="S18" s="297"/>
    </row>
    <row r="19" spans="1:19" ht="15">
      <c r="A19" s="298"/>
      <c r="B19" s="291" t="s">
        <v>158</v>
      </c>
      <c r="C19" s="276"/>
      <c r="D19" s="292"/>
      <c r="E19" s="293"/>
      <c r="F19" s="287">
        <v>0.03</v>
      </c>
      <c r="G19" s="294"/>
      <c r="H19" s="295"/>
      <c r="I19" s="379"/>
      <c r="J19" s="379"/>
      <c r="K19" s="299"/>
      <c r="L19" s="379"/>
      <c r="M19" s="380"/>
      <c r="N19" s="295"/>
      <c r="O19" s="295"/>
      <c r="P19" s="296"/>
      <c r="Q19" s="296"/>
      <c r="R19" s="296"/>
      <c r="S19" s="297"/>
    </row>
    <row r="20" spans="1:19" ht="15">
      <c r="A20" s="298"/>
      <c r="B20" s="291" t="s">
        <v>159</v>
      </c>
      <c r="C20" s="276"/>
      <c r="D20" s="292"/>
      <c r="E20" s="293"/>
      <c r="F20" s="300">
        <v>0.025</v>
      </c>
      <c r="G20" s="294"/>
      <c r="H20" s="295"/>
      <c r="I20" s="379"/>
      <c r="J20" s="379"/>
      <c r="K20" s="299"/>
      <c r="L20" s="379"/>
      <c r="M20" s="380"/>
      <c r="N20" s="295"/>
      <c r="O20" s="295"/>
      <c r="P20" s="296"/>
      <c r="Q20" s="296"/>
      <c r="R20" s="296"/>
      <c r="S20" s="297"/>
    </row>
    <row r="21" spans="1:19" ht="15">
      <c r="A21" s="298"/>
      <c r="B21" s="301" t="s">
        <v>160</v>
      </c>
      <c r="C21" s="302"/>
      <c r="D21" s="303"/>
      <c r="E21" s="293"/>
      <c r="F21" s="304">
        <v>0.045</v>
      </c>
      <c r="G21" s="279"/>
      <c r="H21" s="280"/>
      <c r="I21" s="280"/>
      <c r="J21" s="280"/>
      <c r="K21" s="280"/>
      <c r="L21" s="280"/>
      <c r="M21" s="280"/>
      <c r="N21" s="280"/>
      <c r="O21" s="280"/>
      <c r="P21" s="269"/>
      <c r="Q21" s="269"/>
      <c r="R21" s="269"/>
      <c r="S21" s="270"/>
    </row>
    <row r="22" spans="1:19" ht="15">
      <c r="A22" s="305" t="s">
        <v>161</v>
      </c>
      <c r="B22" s="305"/>
      <c r="C22" s="305"/>
      <c r="D22" s="305"/>
      <c r="E22" s="305"/>
      <c r="F22" s="306">
        <v>0.2045</v>
      </c>
      <c r="G22" s="279"/>
      <c r="H22" s="280"/>
      <c r="I22" s="282"/>
      <c r="J22" s="282"/>
      <c r="K22" s="307"/>
      <c r="L22" s="282"/>
      <c r="M22" s="308"/>
      <c r="N22" s="280"/>
      <c r="O22" s="280"/>
      <c r="P22" s="269"/>
      <c r="Q22" s="269"/>
      <c r="R22" s="269"/>
      <c r="S22" s="270"/>
    </row>
    <row r="23" spans="1:19" ht="15" thickBot="1">
      <c r="A23" s="309" t="s">
        <v>162</v>
      </c>
      <c r="B23" s="310"/>
      <c r="C23" s="310"/>
      <c r="D23" s="310"/>
      <c r="E23" s="310"/>
      <c r="F23" s="311">
        <v>0.2652</v>
      </c>
      <c r="G23" s="279"/>
      <c r="H23" s="280"/>
      <c r="I23" s="280"/>
      <c r="J23" s="280"/>
      <c r="K23" s="280"/>
      <c r="L23" s="280"/>
      <c r="M23" s="280"/>
      <c r="N23" s="280"/>
      <c r="O23" s="280"/>
      <c r="P23" s="269"/>
      <c r="Q23" s="269"/>
      <c r="R23" s="269"/>
      <c r="S23" s="270"/>
    </row>
    <row r="24" spans="1:19" ht="15">
      <c r="A24" s="370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</row>
    <row r="25" spans="1:19" ht="15">
      <c r="A25" s="371"/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</row>
    <row r="26" spans="1:19" ht="15">
      <c r="A26" s="372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</row>
    <row r="27" spans="1:19" ht="15">
      <c r="A27" s="373" t="s">
        <v>163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</row>
    <row r="28" spans="1:19" ht="15">
      <c r="A28" s="374" t="s">
        <v>164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</row>
    <row r="29" spans="1:19" ht="15">
      <c r="A29" s="375" t="s">
        <v>165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</row>
    <row r="30" spans="1:19" ht="15">
      <c r="A30" s="375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</row>
    <row r="31" spans="1:19" ht="15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</row>
    <row r="32" spans="1:19" ht="15">
      <c r="A32" s="376"/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</row>
    <row r="33" spans="1:19" ht="15">
      <c r="A33" s="376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</row>
  </sheetData>
  <mergeCells count="30">
    <mergeCell ref="A1:S1"/>
    <mergeCell ref="A2:S3"/>
    <mergeCell ref="A4:E4"/>
    <mergeCell ref="F4:S4"/>
    <mergeCell ref="A5:E6"/>
    <mergeCell ref="F5:S6"/>
    <mergeCell ref="A7:E7"/>
    <mergeCell ref="F7:S7"/>
    <mergeCell ref="A8:E8"/>
    <mergeCell ref="F8:K8"/>
    <mergeCell ref="L8:O8"/>
    <mergeCell ref="P8:S8"/>
    <mergeCell ref="A9:S10"/>
    <mergeCell ref="A11:F11"/>
    <mergeCell ref="G11:S11"/>
    <mergeCell ref="G13:G14"/>
    <mergeCell ref="H13:H14"/>
    <mergeCell ref="R13:R14"/>
    <mergeCell ref="S13:S14"/>
    <mergeCell ref="G16:G17"/>
    <mergeCell ref="S16:S17"/>
    <mergeCell ref="I19:I20"/>
    <mergeCell ref="J19:J20"/>
    <mergeCell ref="L19:L20"/>
    <mergeCell ref="M19:M20"/>
    <mergeCell ref="A24:S26"/>
    <mergeCell ref="A27:S27"/>
    <mergeCell ref="A28:S28"/>
    <mergeCell ref="A29:S31"/>
    <mergeCell ref="A32:S33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Camilla Matias</cp:lastModifiedBy>
  <cp:lastPrinted>2021-06-03T14:05:45Z</cp:lastPrinted>
  <dcterms:created xsi:type="dcterms:W3CDTF">2010-05-25T00:22:51Z</dcterms:created>
  <dcterms:modified xsi:type="dcterms:W3CDTF">2021-06-03T14:10:34Z</dcterms:modified>
  <cp:category/>
  <cp:version/>
  <cp:contentType/>
  <cp:contentStatus/>
</cp:coreProperties>
</file>